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<sst xmlns="http://schemas.openxmlformats.org/spreadsheetml/2006/main" count="887" uniqueCount="639">
  <si>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</si>
  <si>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</si>
  <si>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</si>
  <si>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</si>
  <si>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</si>
  <si>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</si>
  <si>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</si>
  <si>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</si>
  <si>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</si>
  <si>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</si>
  <si>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</si>
  <si>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</si>
  <si>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</si>
  <si>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</si>
  <si>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</si>
  <si>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</si>
  <si>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</si>
  <si>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</si>
  <si>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</si>
  <si>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</si>
  <si>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</si>
  <si>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</si>
  <si>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</si>
  <si>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</si>
  <si>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</si>
  <si>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</si>
  <si>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</si>
  <si>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</si>
  <si>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</si>
  <si>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</si>
  <si>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</si>
  <si>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</si>
  <si>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</si>
  <si>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</si>
  <si>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</si>
  <si>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</si>
  <si>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</si>
  <si>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</si>
  <si>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</si>
  <si>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</si>
  <si>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</si>
  <si>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</si>
  <si>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</si>
  <si>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</si>
  <si>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</si>
  <si>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</si>
  <si>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</si>
  <si>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</si>
  <si>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</si>
  <si>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</si>
  <si>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</si>
  <si>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</si>
  <si>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</si>
  <si>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</si>
  <si>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</si>
  <si>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</si>
  <si>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</si>
  <si>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</si>
  <si>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</si>
  <si>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</si>
  <si>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</si>
  <si>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</si>
  <si>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</si>
  <si>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</si>
  <si>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</si>
  <si>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</si>
  <si>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</si>
  <si>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</si>
  <si>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</si>
  <si>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</si>
  <si>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</si>
  <si>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</si>
  <si>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</si>
  <si>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</si>
  <si>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</si>
  <si>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</si>
  <si>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</si>
  <si>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</si>
  <si>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</si>
  <si>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</si>
  <si>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</si>
  <si>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</si>
  <si>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</si>
  <si>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</si>
  <si>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</si>
  <si>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</si>
  <si>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</si>
  <si>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</si>
  <si>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</si>
  <si>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</si>
  <si>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</si>
  <si>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</si>
  <si>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</si>
  <si>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</si>
  <si>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</si>
  <si>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</si>
  <si>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</si>
  <si>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</si>
  <si>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</si>
  <si>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</si>
  <si>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</si>
  <si>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</si>
  <si>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</si>
  <si>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</si>
  <si>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</si>
  <si>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</si>
  <si>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</si>
  <si>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</si>
  <si>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</si>
  <si>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</si>
  <si>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</si>
  <si>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</si>
  <si>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</si>
  <si>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</si>
  <si>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</si>
  <si>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</si>
  <si>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</si>
  <si>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</si>
  <si>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</si>
  <si>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</si>
  <si>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</si>
  <si>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</si>
  <si>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</si>
  <si>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</si>
  <si>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</si>
  <si>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</si>
  <si>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</si>
  <si>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</si>
  <si>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</si>
  <si>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</si>
  <si>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</si>
  <si>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</si>
  <si>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</si>
  <si>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</si>
  <si>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</si>
  <si>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</si>
  <si>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</si>
  <si>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</si>
  <si>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</si>
  <si>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</si>
  <si>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</si>
  <si>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</si>
  <si>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</si>
  <si>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</si>
  <si>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</si>
  <si>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</si>
  <si>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</si>
  <si>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</si>
  <si>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</si>
  <si>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</si>
  <si>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</si>
  <si>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</si>
  <si>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</si>
  <si>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</si>
  <si>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</si>
  <si>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</si>
  <si>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</si>
  <si>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</si>
  <si>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</si>
  <si>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</si>
  <si>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</si>
  <si>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</si>
  <si>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</si>
  <si>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</si>
  <si>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</si>
  <si>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</si>
  <si>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</si>
  <si>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</si>
  <si>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</si>
  <si>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</si>
  <si>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</si>
  <si>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</si>
  <si>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</si>
  <si>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</si>
  <si>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</si>
  <si>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</si>
  <si>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</si>
  <si>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</si>
  <si>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</si>
  <si>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</si>
  <si>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</si>
  <si>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</si>
  <si>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</si>
  <si>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</si>
  <si>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</si>
  <si>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</si>
  <si>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</si>
  <si>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</si>
  <si>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</si>
  <si>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</si>
  <si>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</si>
  <si>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</si>
  <si>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</si>
  <si>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</si>
  <si>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</si>
  <si>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</si>
  <si>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</si>
  <si>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</si>
  <si>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</si>
  <si>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</si>
  <si>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</si>
  <si>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</si>
  <si>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</si>
  <si>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</si>
  <si>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</si>
  <si>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</si>
  <si>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</si>
  <si>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</si>
  <si>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</si>
  <si>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</si>
  <si>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</si>
  <si>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</si>
  <si>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</si>
  <si>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</si>
  <si>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</si>
  <si>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</si>
  <si>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</si>
  <si>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</si>
  <si>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</si>
  <si>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</si>
  <si>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</si>
  <si>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</si>
  <si>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</si>
  <si>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</si>
  <si>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</si>
  <si>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</si>
  <si>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</si>
  <si>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</si>
  <si>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</si>
  <si>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</si>
  <si>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</si>
  <si>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</si>
  <si>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</si>
  <si>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</si>
  <si>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</si>
  <si>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</si>
  <si>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</si>
  <si>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</si>
  <si>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</si>
  <si>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</si>
  <si>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</si>
  <si>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</si>
  <si>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</si>
  <si>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</si>
  <si>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</si>
  <si>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</si>
  <si>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</si>
  <si>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</si>
  <si>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</si>
  <si>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</si>
  <si>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</si>
  <si>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</si>
  <si>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</si>
  <si>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</si>
  <si>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</si>
  <si>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</si>
  <si>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</si>
  <si>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</si>
  <si>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</si>
  <si>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</si>
  <si>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</si>
  <si>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</si>
  <si>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</si>
  <si>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</si>
  <si>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</si>
  <si>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</si>
  <si>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</si>
  <si>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</si>
  <si>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</si>
  <si>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</si>
  <si>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</si>
  <si>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</si>
  <si>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</si>
  <si>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</si>
  <si>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</si>
  <si>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</si>
  <si>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</si>
  <si>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</si>
  <si>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</si>
  <si>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</si>
  <si>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</si>
  <si>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</si>
  <si>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</si>
  <si>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</si>
  <si>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</si>
  <si>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</si>
  <si>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</si>
  <si>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</si>
  <si>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</si>
  <si>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</si>
  <si>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</si>
  <si>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</si>
  <si>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</si>
  <si>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</si>
  <si>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</si>
  <si>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</si>
  <si>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</si>
  <si>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</si>
  <si>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</si>
  <si>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</si>
  <si>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</si>
  <si>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</si>
  <si>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</si>
  <si>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</si>
  <si>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</si>
  <si>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</si>
  <si>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</si>
  <si>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</si>
  <si>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</si>
  <si>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</si>
  <si>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</si>
  <si>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</si>
  <si>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</si>
  <si>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</si>
  <si>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</si>
  <si>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</si>
  <si>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</si>
  <si>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</si>
  <si>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</si>
  <si>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</si>
  <si>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</si>
  <si>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</si>
  <si>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</si>
  <si>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</si>
  <si>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</si>
  <si>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</si>
  <si>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</si>
  <si>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</si>
  <si>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</si>
  <si>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</si>
  <si>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</si>
  <si>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</si>
  <si>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</si>
  <si>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</si>
  <si>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</si>
  <si>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</si>
  <si>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</si>
  <si>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</si>
  <si>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</si>
  <si>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</si>
  <si>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</si>
  <si>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</si>
  <si>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</si>
  <si>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</si>
  <si>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</si>
  <si>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</si>
  <si>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</si>
  <si>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</si>
  <si>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</si>
  <si>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</si>
  <si>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</si>
  <si>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</si>
  <si>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</si>
  <si>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</si>
  <si>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</si>
  <si>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</si>
  <si>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</si>
  <si>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</si>
  <si>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</si>
  <si>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</si>
  <si>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</si>
  <si>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</si>
  <si>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</si>
  <si>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</si>
  <si>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</si>
  <si>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</si>
  <si>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</si>
  <si>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</si>
  <si>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</si>
  <si>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</si>
  <si>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</si>
  <si>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</si>
  <si>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</si>
  <si>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</si>
  <si>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</si>
  <si>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</si>
  <si>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</si>
  <si>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</si>
  <si>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</si>
  <si>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</si>
  <si>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</si>
  <si>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</si>
  <si>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</si>
  <si>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</si>
  <si>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</si>
  <si>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</si>
  <si>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</si>
  <si>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</si>
  <si>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</si>
  <si>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</si>
  <si>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</si>
  <si>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</si>
  <si>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</si>
  <si>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</si>
  <si>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</si>
  <si>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</si>
  <si>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</si>
  <si>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</si>
  <si>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</si>
  <si>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</si>
  <si>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</si>
  <si>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</si>
  <si>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</si>
  <si>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</si>
  <si>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</si>
  <si>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</si>
  <si>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</si>
  <si>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</si>
  <si>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</si>
  <si>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</si>
  <si>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</si>
  <si>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</si>
  <si>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</si>
  <si>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</si>
  <si>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</si>
  <si>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</si>
  <si>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</si>
  <si>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</si>
  <si>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</si>
  <si>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</si>
  <si>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</si>
  <si>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</si>
  <si>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</si>
  <si>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</si>
  <si>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</si>
  <si>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</si>
  <si>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</si>
  <si>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</si>
  <si>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</si>
  <si>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</si>
  <si>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</si>
  <si>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</si>
  <si>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</si>
  <si>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</si>
  <si>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</si>
  <si>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</si>
  <si>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</si>
  <si>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</si>
  <si>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</si>
  <si>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</si>
  <si>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</si>
  <si>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</si>
  <si>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</si>
  <si>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</si>
  <si>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</si>
  <si>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</si>
  <si>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</si>
  <si>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</si>
  <si>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</si>
  <si>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</si>
  <si>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</si>
  <si>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</si>
  <si>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</si>
  <si>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</si>
  <si>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</si>
  <si>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</si>
  <si>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</si>
  <si>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</si>
  <si>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</si>
  <si>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</si>
  <si>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</si>
  <si>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</si>
  <si>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</si>
  <si>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</si>
  <si>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</si>
  <si>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</si>
  <si>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</si>
  <si>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</si>
  <si>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</si>
  <si>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</si>
  <si>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</si>
  <si>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</si>
  <si>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</si>
  <si>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</si>
  <si>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</si>
  <si>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</si>
  <si>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</si>
  <si>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</si>
  <si>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</si>
  <si>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</si>
  <si>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</si>
  <si>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</si>
  <si>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</si>
  <si>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</si>
  <si>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</si>
  <si>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</si>
  <si>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</si>
  <si>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</si>
  <si>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</si>
  <si>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</si>
  <si>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</si>
  <si>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</si>
  <si>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</si>
  <si>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</si>
  <si>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</si>
  <si>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</si>
  <si>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</si>
  <si>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</si>
  <si>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</si>
  <si>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</si>
  <si>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</si>
  <si>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</si>
  <si>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</si>
  <si>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</si>
  <si>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</si>
  <si>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</si>
  <si>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</si>
  <si>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</si>
  <si>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</si>
  <si>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</si>
  <si>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</si>
  <si>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</si>
  <si>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</si>
  <si>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</si>
  <si>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</si>
  <si>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</si>
  <si>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</si>
  <si>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</si>
  <si>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</si>
  <si>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</si>
  <si>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</si>
  <si>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</si>
  <si>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</si>
  <si>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</si>
  <si>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</si>
  <si>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</si>
  <si>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</si>
  <si>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</si>
  <si>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</si>
  <si>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</si>
  <si>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</si>
  <si>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</si>
  <si>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</si>
  <si>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</si>
  <si>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</si>
  <si>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</si>
  <si>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</si>
  <si>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</si>
  <si>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</si>
  <si>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</si>
  <si>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</si>
  <si>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</si>
  <si>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</si>
  <si>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</si>
  <si>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</si>
  <si>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</si>
  <si>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</si>
  <si>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</si>
  <si>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</si>
  <si>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</si>
  <si>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</si>
  <si>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</si>
  <si>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</si>
  <si>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</si>
  <si>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</si>
  <si>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</si>
  <si>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</si>
  <si>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</si>
  <si>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</si>
  <si>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</si>
  <si>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</si>
  <si>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</si>
  <si>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</si>
  <si>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</si>
  <si>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</si>
  <si>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</si>
  <si>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</si>
  <si>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</si>
  <si>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</si>
  <si>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</si>
  <si>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</si>
  <si>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</si>
  <si>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</si>
  <si>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</si>
  <si>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</si>
  <si>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</si>
  <si>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</si>
  <si>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</si>
  <si>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</si>
  <si>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99.595.100-2</t>
  </si>
  <si>
    <t>Av. Eduardo Frei Montalva 5325</t>
  </si>
  <si>
    <t>Conchali</t>
  </si>
  <si>
    <t>stgo</t>
  </si>
  <si>
    <t>SERVICIOS LUCAS DIESEL S.A.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</si>
  <si>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</si>
  <si>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</si>
  <si>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</si>
  <si>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</si>
  <si>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</si>
  <si>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</si>
  <si>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</si>
  <si>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</si>
  <si>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</si>
  <si>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</si>
  <si>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</si>
  <si>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</si>
  <si>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</si>
  <si>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</si>
  <si>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</si>
  <si>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</si>
  <si>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</si>
  <si>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</si>
  <si>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</si>
  <si>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</si>
  <si>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</si>
  <si>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</si>
  <si>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</si>
  <si>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</si>
  <si>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</si>
  <si>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</si>
  <si>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</si>
  <si>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</si>
  <si>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CLAUDIA RIVERA</t>
  </si>
  <si>
    <t>77596940-7</t>
  </si>
  <si>
    <t>LABORATORIO   CHILE  S.A.</t>
  </si>
  <si>
    <t>LAB. FARMACEUTICO</t>
  </si>
  <si>
    <t>CAMINO A MELIPILLA # 9978</t>
  </si>
  <si>
    <t>OBSERVACIONES</t>
  </si>
  <si>
    <t>30 DIAS</t>
  </si>
  <si>
    <t>ST</t>
  </si>
  <si>
    <t>ENTREGA INMEDIATA</t>
  </si>
  <si>
    <t>CONECTOR RAPIDO CODO 90°  M5x4 mm</t>
  </si>
  <si>
    <t>CONECTOR RAPIDO RECTO M5x4 mm</t>
  </si>
  <si>
    <t>TAPONES NEUMATICA 6 MM</t>
  </si>
  <si>
    <t>TAPONES NEUMATICA 8 MM</t>
  </si>
  <si>
    <t>CODO EN AC INOX 90° 1/2" HI</t>
  </si>
  <si>
    <t>COPLAS REDUCCIÓN DE GALVANIZADO 3/8"x1/2"</t>
  </si>
  <si>
    <t>MANGUERA REFORZADA PT-250  D: 3/8"</t>
  </si>
  <si>
    <t>CONECTOR PASAMURO 8 mm</t>
  </si>
  <si>
    <t>MANGUERA TRANSPARENTE POLYURETANO D :10MM</t>
  </si>
  <si>
    <t>allen</t>
  </si>
  <si>
    <t>UNIÓN AMER GALV DE 1/2"</t>
  </si>
  <si>
    <t>ABRAZADERA AC. INOX CREMALLERA 12-22</t>
  </si>
  <si>
    <t>ABRAZADERA AC. INOX CREMALLERA 20-32</t>
  </si>
  <si>
    <t>HID</t>
  </si>
  <si>
    <t>VALVULA DE BOLA INOX HI PARA VAPOR 3/4"</t>
  </si>
  <si>
    <t>VALVULA DE BOLA INOX HI PARA VAPOR 1/2"</t>
  </si>
  <si>
    <t>DANUS</t>
  </si>
  <si>
    <t>JOSEFINA CORVALAN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</si>
</sst>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72" fontId="4" fillId="3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2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7" fillId="32" borderId="25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9" fillId="32" borderId="25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0" fontId="7" fillId="32" borderId="26" xfId="0" applyFont="1" applyFill="1" applyBorder="1" applyAlignment="1" applyProtection="1">
      <alignment horizontal="right" vertical="center"/>
      <protection locked="0"/>
    </xf>
    <xf numFmtId="0" fontId="7" fillId="32" borderId="27" xfId="0" applyFont="1" applyFill="1" applyBorder="1" applyAlignment="1" applyProtection="1">
      <alignment horizontal="right"/>
      <protection locked="0"/>
    </xf>
    <xf numFmtId="0" fontId="7" fillId="32" borderId="14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7" fillId="32" borderId="15" xfId="0" applyFont="1" applyFill="1" applyBorder="1" applyAlignment="1" applyProtection="1">
      <alignment horizontal="right"/>
      <protection locked="0"/>
    </xf>
    <xf numFmtId="9" fontId="7" fillId="32" borderId="28" xfId="0" applyNumberFormat="1" applyFont="1" applyFill="1" applyBorder="1" applyAlignment="1" applyProtection="1">
      <alignment horizontal="right" vertical="center"/>
      <protection locked="0"/>
    </xf>
    <xf numFmtId="9" fontId="7" fillId="32" borderId="0" xfId="0" applyNumberFormat="1" applyFont="1" applyFill="1" applyBorder="1" applyAlignment="1" applyProtection="1">
      <alignment horizontal="right" vertical="center"/>
      <protection locked="0"/>
    </xf>
    <xf numFmtId="9" fontId="7" fillId="32" borderId="19" xfId="0" applyNumberFormat="1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horizontal="right" vertical="center"/>
      <protection locked="0"/>
    </xf>
    <xf numFmtId="0" fontId="7" fillId="32" borderId="19" xfId="0" applyFont="1" applyFill="1" applyBorder="1" applyAlignment="1" applyProtection="1">
      <alignment horizontal="right"/>
      <protection locked="0"/>
    </xf>
    <xf numFmtId="0" fontId="7" fillId="32" borderId="29" xfId="0" applyFont="1" applyFill="1" applyBorder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right" vertical="center"/>
      <protection locked="0"/>
    </xf>
    <xf numFmtId="0" fontId="7" fillId="32" borderId="24" xfId="0" applyFont="1" applyFill="1" applyBorder="1" applyAlignment="1" applyProtection="1">
      <alignment horizontal="right" vertical="center"/>
      <protection locked="0"/>
    </xf>
    <xf numFmtId="0" fontId="7" fillId="32" borderId="31" xfId="0" applyFont="1" applyFill="1" applyBorder="1" applyAlignment="1" applyProtection="1">
      <alignment horizontal="right"/>
      <protection locked="0"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32" borderId="32" xfId="0" applyNumberFormat="1" applyFont="1" applyFill="1" applyBorder="1" applyAlignment="1" applyProtection="1">
      <alignment horizontal="center"/>
      <protection/>
    </xf>
    <xf numFmtId="174" fontId="7" fillId="32" borderId="33" xfId="0" applyNumberFormat="1" applyFont="1" applyFill="1" applyBorder="1" applyAlignment="1" applyProtection="1">
      <alignment horizontal="center"/>
      <protection/>
    </xf>
    <xf numFmtId="174" fontId="12" fillId="32" borderId="12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32" borderId="14" xfId="0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 locked="0"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 applyProtection="1">
      <alignment horizontal="left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32" borderId="15" xfId="45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172" fontId="13" fillId="32" borderId="15" xfId="0" applyNumberFormat="1" applyFont="1" applyFill="1" applyBorder="1" applyAlignment="1" applyProtection="1">
      <alignment horizontal="left" vertical="center"/>
      <protection/>
    </xf>
    <xf numFmtId="0" fontId="14" fillId="32" borderId="25" xfId="0" applyFont="1" applyFill="1" applyBorder="1" applyAlignment="1" applyProtection="1">
      <alignment/>
      <protection locked="0"/>
    </xf>
    <xf numFmtId="0" fontId="14" fillId="32" borderId="24" xfId="0" applyFont="1" applyFill="1" applyBorder="1" applyAlignment="1" applyProtection="1">
      <alignment/>
      <protection locked="0"/>
    </xf>
    <xf numFmtId="0" fontId="13" fillId="32" borderId="24" xfId="0" applyFont="1" applyFill="1" applyBorder="1" applyAlignment="1" applyProtection="1">
      <alignment/>
      <protection locked="0"/>
    </xf>
    <xf numFmtId="172" fontId="13" fillId="32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32" borderId="10" xfId="0" applyNumberFormat="1" applyFont="1" applyFill="1" applyBorder="1" applyAlignment="1" applyProtection="1">
      <alignment horizontal="center"/>
      <protection locked="0"/>
    </xf>
    <xf numFmtId="0" fontId="14" fillId="32" borderId="14" xfId="0" applyNumberFormat="1" applyFont="1" applyFill="1" applyBorder="1" applyAlignment="1" applyProtection="1">
      <alignment horizontal="center"/>
      <protection locked="0"/>
    </xf>
    <xf numFmtId="43" fontId="1" fillId="0" borderId="0" xfId="47" applyFont="1" applyAlignment="1" applyProtection="1">
      <alignment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9" fillId="0" borderId="0" xfId="45" applyAlignment="1">
      <alignment/>
    </xf>
    <xf numFmtId="3" fontId="7" fillId="32" borderId="36" xfId="0" applyNumberFormat="1" applyFont="1" applyFill="1" applyBorder="1" applyAlignment="1" applyProtection="1">
      <alignment horizontal="center"/>
      <protection/>
    </xf>
    <xf numFmtId="3" fontId="7" fillId="32" borderId="37" xfId="0" applyNumberFormat="1" applyFont="1" applyFill="1" applyBorder="1" applyAlignment="1" applyProtection="1">
      <alignment horizontal="center"/>
      <protection/>
    </xf>
    <xf numFmtId="3" fontId="7" fillId="32" borderId="38" xfId="0" applyNumberFormat="1" applyFont="1" applyFill="1" applyBorder="1" applyAlignment="1" applyProtection="1">
      <alignment horizontal="center"/>
      <protection/>
    </xf>
    <xf numFmtId="0" fontId="14" fillId="32" borderId="34" xfId="0" applyFont="1" applyFill="1" applyBorder="1" applyAlignment="1" applyProtection="1">
      <alignment horizontal="center"/>
      <protection locked="0"/>
    </xf>
    <xf numFmtId="0" fontId="14" fillId="32" borderId="32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32" borderId="14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174" fontId="13" fillId="32" borderId="0" xfId="0" applyNumberFormat="1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left"/>
      <protection locked="0"/>
    </xf>
    <xf numFmtId="0" fontId="14" fillId="32" borderId="11" xfId="0" applyFont="1" applyFill="1" applyBorder="1" applyAlignment="1" applyProtection="1">
      <alignment horizontal="left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32" borderId="25" xfId="0" applyNumberFormat="1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0" fontId="9" fillId="32" borderId="32" xfId="0" applyFont="1" applyFill="1" applyBorder="1" applyAlignment="1" applyProtection="1">
      <alignment horizontal="center"/>
      <protection locked="0"/>
    </xf>
    <xf numFmtId="0" fontId="9" fillId="32" borderId="33" xfId="0" applyFont="1" applyFill="1" applyBorder="1" applyAlignment="1" applyProtection="1">
      <alignment horizontal="center"/>
      <protection locked="0"/>
    </xf>
    <xf numFmtId="174" fontId="14" fillId="34" borderId="34" xfId="0" applyNumberFormat="1" applyFont="1" applyFill="1" applyBorder="1" applyAlignment="1" applyProtection="1">
      <alignment horizontal="center"/>
      <protection/>
    </xf>
    <xf numFmtId="0" fontId="14" fillId="32" borderId="11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/>
      <protection locked="0"/>
    </xf>
    <xf numFmtId="174" fontId="14" fillId="34" borderId="32" xfId="0" applyNumberFormat="1" applyFont="1" applyFill="1" applyBorder="1" applyAlignment="1" applyProtection="1">
      <alignment horizontal="center"/>
      <protection/>
    </xf>
    <xf numFmtId="182" fontId="6" fillId="0" borderId="0" xfId="47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88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 t="s">
        <v>619</v>
      </c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3154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613</v>
      </c>
      <c r="D4" s="69"/>
      <c r="E4" s="38" t="s">
        <v>12</v>
      </c>
      <c r="F4" s="39"/>
      <c r="G4" s="39"/>
      <c r="H4" s="40"/>
      <c r="I4" s="38" t="s">
        <v>9</v>
      </c>
      <c r="J4" s="67"/>
      <c r="K4" s="20"/>
    </row>
    <row r="5" spans="2:11" ht="15">
      <c r="B5" s="70"/>
      <c r="C5" s="71"/>
      <c r="D5" s="72"/>
      <c r="E5" s="103" t="s">
        <v>616</v>
      </c>
      <c r="F5" s="103"/>
      <c r="G5" s="103"/>
      <c r="H5" s="103"/>
      <c r="I5" s="103"/>
      <c r="J5" s="104"/>
      <c r="K5" s="20"/>
    </row>
    <row r="6" spans="2:10" ht="17.25" customHeight="1">
      <c r="B6" s="70" t="s">
        <v>26</v>
      </c>
      <c r="C6" s="71"/>
      <c r="D6" s="73" t="s">
        <v>614</v>
      </c>
      <c r="E6" s="71" t="s">
        <v>7</v>
      </c>
      <c r="F6" s="103" t="s">
        <v>36</v>
      </c>
      <c r="G6" s="103"/>
      <c r="H6" s="103"/>
      <c r="I6" s="74"/>
      <c r="J6" s="75"/>
    </row>
    <row r="7" spans="2:10" ht="15">
      <c r="B7" s="70" t="s">
        <v>24</v>
      </c>
      <c r="C7" s="71"/>
      <c r="D7" s="73" t="s">
        <v>615</v>
      </c>
      <c r="E7" s="71" t="s">
        <v>8</v>
      </c>
      <c r="F7" s="103" t="s">
        <v>28</v>
      </c>
      <c r="G7" s="103"/>
      <c r="H7" s="103"/>
      <c r="I7" s="71" t="s">
        <v>25</v>
      </c>
      <c r="J7" s="76" t="s">
        <v>638</v>
      </c>
    </row>
    <row r="8" spans="2:12" ht="15.75" thickBot="1">
      <c r="B8" s="101" t="s">
        <v>27</v>
      </c>
      <c r="C8" s="102"/>
      <c r="D8" s="73" t="s">
        <v>618</v>
      </c>
      <c r="E8" s="71" t="s">
        <v>11</v>
      </c>
      <c r="F8" s="103" t="s">
        <v>612</v>
      </c>
      <c r="G8" s="103"/>
      <c r="H8" s="103"/>
      <c r="I8" s="71" t="s">
        <v>14</v>
      </c>
      <c r="J8" s="77">
        <f ca="1">TODAY()</f>
        <v>42290</v>
      </c>
      <c r="K8" s="20"/>
      <c r="L8" s="20"/>
    </row>
    <row r="9" spans="2:25" ht="16.5" thickBot="1" thickTop="1">
      <c r="B9" s="78"/>
      <c r="C9" s="79"/>
      <c r="D9" s="80"/>
      <c r="E9" s="79"/>
      <c r="F9" s="80"/>
      <c r="G9" s="80"/>
      <c r="H9" s="80"/>
      <c r="I9" s="79"/>
      <c r="J9" s="81"/>
      <c r="K9" s="20"/>
      <c r="L9" s="20"/>
      <c r="P9" s="21"/>
      <c r="Q9" s="22" t="s">
        <v>20</v>
      </c>
      <c r="R9" s="23" t="s">
        <v>21</v>
      </c>
      <c r="Y9" s="8" t="s">
        <v>601</v>
      </c>
    </row>
    <row r="10" spans="2:31" ht="15.75" thickBot="1">
      <c r="B10" s="82" t="s">
        <v>1</v>
      </c>
      <c r="C10" s="105" t="s">
        <v>23</v>
      </c>
      <c r="D10" s="106"/>
      <c r="E10" s="107"/>
      <c r="F10" s="83" t="s">
        <v>0</v>
      </c>
      <c r="G10" s="84" t="s">
        <v>22</v>
      </c>
      <c r="H10" s="84" t="s">
        <v>15</v>
      </c>
      <c r="I10" s="85" t="s">
        <v>13</v>
      </c>
      <c r="J10" s="100" t="s">
        <v>2</v>
      </c>
      <c r="K10" s="24" t="s">
        <v>17</v>
      </c>
      <c r="L10" s="25" t="s">
        <v>634</v>
      </c>
      <c r="M10" s="25" t="s">
        <v>630</v>
      </c>
      <c r="N10" s="25" t="s">
        <v>637</v>
      </c>
      <c r="O10" s="25"/>
      <c r="P10" s="26" t="s">
        <v>16</v>
      </c>
      <c r="Q10" s="25" t="s">
        <v>18</v>
      </c>
      <c r="R10" s="27" t="s">
        <v>19</v>
      </c>
      <c r="X10" s="8" t="s">
        <v>595</v>
      </c>
      <c r="Y10" s="8" t="s">
        <v>602</v>
      </c>
      <c r="Z10" s="8" t="s">
        <v>593</v>
      </c>
      <c r="AA10" s="8" t="s">
        <v>603</v>
      </c>
      <c r="AB10" s="8" t="s">
        <v>604</v>
      </c>
      <c r="AD10" s="93" t="s">
        <v>593</v>
      </c>
      <c r="AE10" s="8" t="s">
        <v>610</v>
      </c>
    </row>
    <row r="11" spans="2:31" ht="15">
      <c r="B11" s="86">
        <v>33355</v>
      </c>
      <c r="C11" s="108" t="s">
        <v>632</v>
      </c>
      <c r="D11" s="109"/>
      <c r="E11" s="109"/>
      <c r="F11" s="98">
        <v>20</v>
      </c>
      <c r="G11" s="116" t="s">
        <v>22</v>
      </c>
      <c r="H11" s="115">
        <f aca="true" t="shared" si="0" ref="H11:H23">+R11</f>
        <v>380</v>
      </c>
      <c r="I11" s="115"/>
      <c r="J11" s="115">
        <f>F11*H11*(1-I11/100)</f>
        <v>7600</v>
      </c>
      <c r="K11" s="28">
        <v>1</v>
      </c>
      <c r="L11" s="29">
        <v>380</v>
      </c>
      <c r="M11" s="29"/>
      <c r="N11" s="29"/>
      <c r="O11" s="29"/>
      <c r="P11" s="30">
        <v>1</v>
      </c>
      <c r="Q11" s="31">
        <f>+L11</f>
        <v>380</v>
      </c>
      <c r="R11" s="35">
        <f>Q11*P11</f>
        <v>380</v>
      </c>
      <c r="S11" s="8">
        <f>L11*F11</f>
        <v>7600</v>
      </c>
      <c r="T11" s="8">
        <f>M11*F11</f>
        <v>0</v>
      </c>
      <c r="X11" s="90">
        <f>2800*16/3000</f>
        <v>14.933333333333334</v>
      </c>
      <c r="Y11" s="8">
        <f>128*F11</f>
        <v>2560</v>
      </c>
      <c r="Z11" s="8">
        <f>64*F11</f>
        <v>1280</v>
      </c>
      <c r="AA11" s="8">
        <f>32*F11</f>
        <v>640</v>
      </c>
      <c r="AB11" s="8">
        <f>96*F11</f>
        <v>1920</v>
      </c>
      <c r="AD11" s="93">
        <f>128+64</f>
        <v>192</v>
      </c>
      <c r="AE11" s="90">
        <f>+H11/1.5</f>
        <v>253.33333333333334</v>
      </c>
    </row>
    <row r="12" spans="2:31" ht="15">
      <c r="B12" s="87">
        <v>33355</v>
      </c>
      <c r="C12" s="101" t="s">
        <v>633</v>
      </c>
      <c r="D12" s="102"/>
      <c r="E12" s="102"/>
      <c r="F12" s="99">
        <v>20</v>
      </c>
      <c r="G12" s="112" t="s">
        <v>22</v>
      </c>
      <c r="H12" s="118">
        <f t="shared" si="0"/>
        <v>340</v>
      </c>
      <c r="I12" s="118"/>
      <c r="J12" s="118">
        <f aca="true" t="shared" si="1" ref="J12:J24">F12*H12*(1-I12/100)</f>
        <v>6800</v>
      </c>
      <c r="K12" s="28">
        <v>2</v>
      </c>
      <c r="L12" s="29">
        <v>340</v>
      </c>
      <c r="M12" s="29"/>
      <c r="N12" s="89"/>
      <c r="O12" s="29"/>
      <c r="P12" s="30">
        <v>1</v>
      </c>
      <c r="Q12" s="31">
        <f>+L12</f>
        <v>340</v>
      </c>
      <c r="R12" s="35">
        <f aca="true" t="shared" si="2" ref="R12:R28">Q12*P12</f>
        <v>340</v>
      </c>
      <c r="S12" s="8">
        <f>L12*F12</f>
        <v>6800</v>
      </c>
      <c r="T12" s="8">
        <f>M12*F12</f>
        <v>0</v>
      </c>
      <c r="X12" s="90">
        <f>1500*53/3000</f>
        <v>26.5</v>
      </c>
      <c r="Y12" s="8">
        <f>278*F12</f>
        <v>5560</v>
      </c>
      <c r="Z12" s="8">
        <f>139*F12</f>
        <v>2780</v>
      </c>
      <c r="AA12" s="8">
        <f>70*F12</f>
        <v>1400</v>
      </c>
      <c r="AB12" s="8">
        <f>209*F12</f>
        <v>4180</v>
      </c>
      <c r="AD12" s="93">
        <f>278+139</f>
        <v>417</v>
      </c>
      <c r="AE12" s="90">
        <f>+H12/1.5</f>
        <v>226.66666666666666</v>
      </c>
    </row>
    <row r="13" spans="2:31" ht="15">
      <c r="B13" s="87">
        <v>33367</v>
      </c>
      <c r="C13" s="101" t="s">
        <v>636</v>
      </c>
      <c r="D13" s="102"/>
      <c r="E13" s="102"/>
      <c r="F13" s="99">
        <v>5</v>
      </c>
      <c r="G13" s="112" t="s">
        <v>22</v>
      </c>
      <c r="H13" s="118">
        <f t="shared" si="0"/>
        <v>6020</v>
      </c>
      <c r="I13" s="118"/>
      <c r="J13" s="118">
        <f t="shared" si="1"/>
        <v>30100</v>
      </c>
      <c r="K13" s="28">
        <v>3</v>
      </c>
      <c r="L13" s="29"/>
      <c r="M13" s="29">
        <v>4300</v>
      </c>
      <c r="N13" s="89"/>
      <c r="O13" s="29"/>
      <c r="P13" s="30">
        <v>1.4</v>
      </c>
      <c r="Q13" s="31">
        <f>+M13</f>
        <v>4300</v>
      </c>
      <c r="R13" s="35">
        <f t="shared" si="2"/>
        <v>6020</v>
      </c>
      <c r="S13" s="8">
        <f>L13*F13</f>
        <v>0</v>
      </c>
      <c r="T13" s="8">
        <f>M13*F13</f>
        <v>21500</v>
      </c>
      <c r="X13" s="90">
        <v>27</v>
      </c>
      <c r="Y13" s="8">
        <f>349*F13</f>
        <v>1745</v>
      </c>
      <c r="Z13" s="8">
        <f>174*F13</f>
        <v>870</v>
      </c>
      <c r="AA13" s="8">
        <f>87*F13</f>
        <v>435</v>
      </c>
      <c r="AB13" s="8">
        <f>262*F13</f>
        <v>1310</v>
      </c>
      <c r="AD13" s="93">
        <f>349+174</f>
        <v>523</v>
      </c>
      <c r="AE13" s="90">
        <f>+H13/1.5</f>
        <v>4013.3333333333335</v>
      </c>
    </row>
    <row r="14" spans="2:28" ht="15">
      <c r="B14" s="87">
        <v>33368</v>
      </c>
      <c r="C14" s="101" t="s">
        <v>635</v>
      </c>
      <c r="D14" s="102"/>
      <c r="E14" s="102"/>
      <c r="F14" s="110">
        <v>5</v>
      </c>
      <c r="G14" s="112" t="s">
        <v>22</v>
      </c>
      <c r="H14" s="118">
        <f t="shared" si="0"/>
        <v>8540</v>
      </c>
      <c r="I14" s="118"/>
      <c r="J14" s="118">
        <f t="shared" si="1"/>
        <v>42700</v>
      </c>
      <c r="K14" s="28">
        <v>4</v>
      </c>
      <c r="L14" s="29"/>
      <c r="M14" s="29">
        <v>6100</v>
      </c>
      <c r="N14" s="89"/>
      <c r="O14" s="29"/>
      <c r="P14" s="30">
        <v>1.4</v>
      </c>
      <c r="Q14" s="31">
        <f>+M14</f>
        <v>6100</v>
      </c>
      <c r="R14" s="35">
        <f t="shared" si="2"/>
        <v>8540</v>
      </c>
      <c r="S14" s="8">
        <f>SUM(S11:S13)</f>
        <v>14400</v>
      </c>
      <c r="T14" s="8">
        <f>SUM(T11:T13)</f>
        <v>21500</v>
      </c>
      <c r="X14" s="90">
        <f>+SUM(X11:X13)</f>
        <v>68.43333333333334</v>
      </c>
      <c r="Y14" s="90">
        <f>+SUM(Y11:Y13)</f>
        <v>9865</v>
      </c>
      <c r="Z14" s="90">
        <f>+SUM(Z11:Z13)</f>
        <v>4930</v>
      </c>
      <c r="AA14" s="90">
        <f>+SUM(AA11:AA13)</f>
        <v>2475</v>
      </c>
      <c r="AB14" s="90">
        <f>+SUM(AB11:AB13)</f>
        <v>7410</v>
      </c>
    </row>
    <row r="15" spans="2:28" ht="15">
      <c r="B15" s="87">
        <v>33368</v>
      </c>
      <c r="C15" s="101" t="s">
        <v>621</v>
      </c>
      <c r="D15" s="102"/>
      <c r="E15" s="102"/>
      <c r="F15" s="99">
        <v>20</v>
      </c>
      <c r="G15" s="112" t="s">
        <v>22</v>
      </c>
      <c r="H15" s="118">
        <f t="shared" si="0"/>
        <v>1168.7</v>
      </c>
      <c r="I15" s="118"/>
      <c r="J15" s="118">
        <f t="shared" si="1"/>
        <v>23374</v>
      </c>
      <c r="K15" s="28">
        <v>5</v>
      </c>
      <c r="L15" s="29"/>
      <c r="M15" s="29"/>
      <c r="N15" s="119">
        <v>899</v>
      </c>
      <c r="O15" s="29"/>
      <c r="P15" s="30">
        <v>1.3</v>
      </c>
      <c r="Q15" s="120">
        <f>+N15</f>
        <v>899</v>
      </c>
      <c r="R15" s="35">
        <f t="shared" si="2"/>
        <v>1168.7</v>
      </c>
      <c r="T15" s="8">
        <f>S14/T14</f>
        <v>0.6697674418604651</v>
      </c>
      <c r="AA15" s="90">
        <f>+SUM(Y14:AA14)</f>
        <v>17270</v>
      </c>
      <c r="AB15" s="90">
        <f>+SUM(Y14:AB14)</f>
        <v>24680</v>
      </c>
    </row>
    <row r="16" spans="2:25" ht="15">
      <c r="B16" s="87">
        <v>33368</v>
      </c>
      <c r="C16" s="101" t="s">
        <v>622</v>
      </c>
      <c r="D16" s="102"/>
      <c r="E16" s="102"/>
      <c r="F16" s="99">
        <v>20</v>
      </c>
      <c r="G16" s="112" t="s">
        <v>22</v>
      </c>
      <c r="H16" s="118">
        <f t="shared" si="0"/>
        <v>1032.2</v>
      </c>
      <c r="I16" s="118"/>
      <c r="J16" s="118">
        <f t="shared" si="1"/>
        <v>20644</v>
      </c>
      <c r="K16" s="28">
        <v>6</v>
      </c>
      <c r="L16" s="29"/>
      <c r="M16" s="29"/>
      <c r="N16" s="119">
        <v>794</v>
      </c>
      <c r="O16" s="29"/>
      <c r="P16" s="30">
        <v>1.3</v>
      </c>
      <c r="Q16" s="120">
        <f>+N16</f>
        <v>794</v>
      </c>
      <c r="R16" s="35">
        <f t="shared" si="2"/>
        <v>1032.2</v>
      </c>
      <c r="X16" s="8" t="s">
        <v>608</v>
      </c>
      <c r="Y16" s="92">
        <f>+S21/X14-1</f>
        <v>0.06673161227471991</v>
      </c>
    </row>
    <row r="17" spans="2:28" ht="15">
      <c r="B17" s="87">
        <v>33368</v>
      </c>
      <c r="C17" s="101" t="s">
        <v>628</v>
      </c>
      <c r="D17" s="102"/>
      <c r="E17" s="102"/>
      <c r="F17" s="99">
        <v>10</v>
      </c>
      <c r="G17" s="112" t="s">
        <v>22</v>
      </c>
      <c r="H17" s="118">
        <f t="shared" si="0"/>
        <v>3231.8</v>
      </c>
      <c r="I17" s="118"/>
      <c r="J17" s="118">
        <f t="shared" si="1"/>
        <v>32318</v>
      </c>
      <c r="K17" s="28">
        <v>7</v>
      </c>
      <c r="L17" s="29"/>
      <c r="M17" s="29"/>
      <c r="N17" s="119">
        <v>2486</v>
      </c>
      <c r="O17" s="29"/>
      <c r="P17" s="30">
        <v>1.3</v>
      </c>
      <c r="Q17" s="120">
        <f>+N17</f>
        <v>2486</v>
      </c>
      <c r="R17" s="35">
        <f t="shared" si="2"/>
        <v>3231.8</v>
      </c>
      <c r="AB17" s="8">
        <f>+AB15/(Y14+Z14)</f>
        <v>1.668131125380196</v>
      </c>
    </row>
    <row r="18" spans="2:18" ht="15">
      <c r="B18" s="87">
        <v>33368</v>
      </c>
      <c r="C18" s="101" t="s">
        <v>623</v>
      </c>
      <c r="D18" s="102"/>
      <c r="E18" s="102"/>
      <c r="F18" s="99">
        <v>20</v>
      </c>
      <c r="G18" s="112" t="s">
        <v>22</v>
      </c>
      <c r="H18" s="118">
        <f t="shared" si="0"/>
        <v>663</v>
      </c>
      <c r="I18" s="118"/>
      <c r="J18" s="118">
        <f t="shared" si="1"/>
        <v>13260</v>
      </c>
      <c r="K18" s="28">
        <v>8</v>
      </c>
      <c r="L18" s="29"/>
      <c r="M18" s="29"/>
      <c r="N18" s="119">
        <v>510</v>
      </c>
      <c r="O18" s="29"/>
      <c r="P18" s="30">
        <v>1.3</v>
      </c>
      <c r="Q18" s="120">
        <f>+N18</f>
        <v>510</v>
      </c>
      <c r="R18" s="35">
        <f t="shared" si="2"/>
        <v>663</v>
      </c>
    </row>
    <row r="19" spans="2:18" ht="15">
      <c r="B19" s="87">
        <v>33368</v>
      </c>
      <c r="C19" s="101" t="s">
        <v>624</v>
      </c>
      <c r="D19" s="102"/>
      <c r="E19" s="102"/>
      <c r="F19" s="99">
        <v>20</v>
      </c>
      <c r="G19" s="112" t="s">
        <v>22</v>
      </c>
      <c r="H19" s="118">
        <f t="shared" si="0"/>
        <v>744.9</v>
      </c>
      <c r="I19" s="118"/>
      <c r="J19" s="118">
        <f t="shared" si="1"/>
        <v>14898</v>
      </c>
      <c r="K19" s="28">
        <v>9</v>
      </c>
      <c r="L19" s="29"/>
      <c r="M19" s="29"/>
      <c r="N19" s="119">
        <v>573</v>
      </c>
      <c r="O19" s="29"/>
      <c r="P19" s="30">
        <v>1.3</v>
      </c>
      <c r="Q19" s="120">
        <f>+N19</f>
        <v>573</v>
      </c>
      <c r="R19" s="35">
        <f t="shared" si="2"/>
        <v>744.9</v>
      </c>
    </row>
    <row r="20" spans="2:21" ht="15">
      <c r="B20" s="87">
        <v>33368</v>
      </c>
      <c r="C20" s="101" t="s">
        <v>625</v>
      </c>
      <c r="D20" s="102"/>
      <c r="E20" s="102"/>
      <c r="F20" s="99">
        <v>10</v>
      </c>
      <c r="G20" s="112" t="s">
        <v>22</v>
      </c>
      <c r="H20" s="118">
        <f t="shared" si="0"/>
        <v>1148</v>
      </c>
      <c r="I20" s="118"/>
      <c r="J20" s="118">
        <f t="shared" si="1"/>
        <v>11480</v>
      </c>
      <c r="K20" s="28">
        <v>10</v>
      </c>
      <c r="L20" s="29"/>
      <c r="M20" s="29">
        <v>820</v>
      </c>
      <c r="N20" s="89"/>
      <c r="O20" s="29"/>
      <c r="P20" s="30">
        <v>1.4</v>
      </c>
      <c r="Q20" s="31">
        <f>+M20</f>
        <v>820</v>
      </c>
      <c r="R20" s="35">
        <f t="shared" si="2"/>
        <v>1148</v>
      </c>
      <c r="T20" s="8" t="s">
        <v>596</v>
      </c>
      <c r="U20" s="8" t="s">
        <v>585</v>
      </c>
    </row>
    <row r="21" spans="2:26" ht="15">
      <c r="B21" s="87">
        <v>33368</v>
      </c>
      <c r="C21" s="101" t="s">
        <v>626</v>
      </c>
      <c r="D21" s="102"/>
      <c r="E21" s="102"/>
      <c r="F21" s="99">
        <v>4</v>
      </c>
      <c r="G21" s="112" t="s">
        <v>22</v>
      </c>
      <c r="H21" s="118">
        <f t="shared" si="0"/>
        <v>900</v>
      </c>
      <c r="I21" s="118"/>
      <c r="J21" s="118">
        <f t="shared" si="1"/>
        <v>3600</v>
      </c>
      <c r="K21" s="28">
        <v>11</v>
      </c>
      <c r="L21" s="29"/>
      <c r="M21" s="29">
        <v>900</v>
      </c>
      <c r="N21" s="89"/>
      <c r="O21" s="29"/>
      <c r="P21" s="30">
        <v>1</v>
      </c>
      <c r="Q21" s="31">
        <f>+M21</f>
        <v>900</v>
      </c>
      <c r="R21" s="35">
        <f t="shared" si="2"/>
        <v>900</v>
      </c>
      <c r="S21" s="8">
        <f>+SUM(T21:T27)</f>
        <v>73</v>
      </c>
      <c r="T21" s="8">
        <v>10</v>
      </c>
      <c r="U21" s="8" t="s">
        <v>588</v>
      </c>
      <c r="V21" s="8">
        <v>157500</v>
      </c>
      <c r="W21" s="8" t="s">
        <v>598</v>
      </c>
      <c r="Y21" s="8">
        <f>+SUM(V21:V27)</f>
        <v>1101793</v>
      </c>
      <c r="Z21" s="8" t="s">
        <v>605</v>
      </c>
    </row>
    <row r="22" spans="2:23" ht="15">
      <c r="B22" s="87">
        <v>33368</v>
      </c>
      <c r="C22" s="101" t="s">
        <v>631</v>
      </c>
      <c r="D22" s="102"/>
      <c r="E22" s="102"/>
      <c r="F22" s="110">
        <v>10</v>
      </c>
      <c r="G22" s="112" t="s">
        <v>22</v>
      </c>
      <c r="H22" s="118">
        <f t="shared" si="0"/>
        <v>2908</v>
      </c>
      <c r="I22" s="118"/>
      <c r="J22" s="118">
        <f t="shared" si="1"/>
        <v>29080</v>
      </c>
      <c r="K22" s="28">
        <v>12</v>
      </c>
      <c r="L22" s="29"/>
      <c r="M22" s="29">
        <v>2908</v>
      </c>
      <c r="N22" s="89"/>
      <c r="O22" s="29"/>
      <c r="P22" s="30">
        <v>1</v>
      </c>
      <c r="Q22" s="31">
        <f>+M22</f>
        <v>2908</v>
      </c>
      <c r="R22" s="35">
        <f t="shared" si="2"/>
        <v>2908</v>
      </c>
      <c r="T22" s="8">
        <v>9</v>
      </c>
      <c r="U22" s="8" t="s">
        <v>599</v>
      </c>
      <c r="V22" s="8">
        <v>140700</v>
      </c>
      <c r="W22" s="8" t="s">
        <v>598</v>
      </c>
    </row>
    <row r="23" spans="2:23" ht="15">
      <c r="B23" s="87">
        <v>33368</v>
      </c>
      <c r="C23" s="101" t="s">
        <v>627</v>
      </c>
      <c r="D23" s="102"/>
      <c r="E23" s="102"/>
      <c r="F23" s="99">
        <v>20</v>
      </c>
      <c r="G23" s="112" t="s">
        <v>22</v>
      </c>
      <c r="H23" s="118">
        <f t="shared" si="0"/>
        <v>1300</v>
      </c>
      <c r="I23" s="118"/>
      <c r="J23" s="118">
        <f t="shared" si="1"/>
        <v>26000</v>
      </c>
      <c r="K23" s="28">
        <v>13</v>
      </c>
      <c r="L23" s="29">
        <v>1300</v>
      </c>
      <c r="M23" s="29"/>
      <c r="N23" s="89"/>
      <c r="O23" s="29"/>
      <c r="P23" s="30">
        <v>1</v>
      </c>
      <c r="Q23" s="31">
        <f aca="true" t="shared" si="3" ref="Q16:Q23">L23</f>
        <v>1300</v>
      </c>
      <c r="R23" s="35">
        <f t="shared" si="2"/>
        <v>1300</v>
      </c>
      <c r="T23" s="8">
        <v>13</v>
      </c>
      <c r="U23" s="8" t="s">
        <v>586</v>
      </c>
      <c r="V23" s="8">
        <v>204750</v>
      </c>
      <c r="W23" s="8" t="s">
        <v>598</v>
      </c>
    </row>
    <row r="24" spans="2:23" ht="15">
      <c r="B24" s="87">
        <v>33368</v>
      </c>
      <c r="C24" s="101" t="s">
        <v>629</v>
      </c>
      <c r="D24" s="102"/>
      <c r="E24" s="102"/>
      <c r="F24" s="99">
        <v>20</v>
      </c>
      <c r="G24" s="112" t="s">
        <v>22</v>
      </c>
      <c r="H24" s="118">
        <f>+R24</f>
        <v>1206.8</v>
      </c>
      <c r="I24" s="118"/>
      <c r="J24" s="118">
        <f t="shared" si="1"/>
        <v>24136</v>
      </c>
      <c r="K24" s="28">
        <v>14</v>
      </c>
      <c r="L24" s="29">
        <v>862</v>
      </c>
      <c r="M24" s="29"/>
      <c r="N24" s="89"/>
      <c r="O24" s="29"/>
      <c r="P24" s="30">
        <v>1.4</v>
      </c>
      <c r="Q24" s="31">
        <f>+L24</f>
        <v>862</v>
      </c>
      <c r="R24" s="35">
        <f t="shared" si="2"/>
        <v>1206.8</v>
      </c>
      <c r="T24" s="8">
        <v>3</v>
      </c>
      <c r="U24" s="8" t="s">
        <v>600</v>
      </c>
      <c r="V24" s="8">
        <v>47250</v>
      </c>
      <c r="W24" s="8" t="s">
        <v>598</v>
      </c>
    </row>
    <row r="25" spans="2:23" ht="15">
      <c r="B25" s="87"/>
      <c r="C25" s="45"/>
      <c r="D25" s="46"/>
      <c r="E25" s="46"/>
      <c r="F25" s="113"/>
      <c r="G25" s="117"/>
      <c r="H25" s="65"/>
      <c r="I25" s="65">
        <v>0</v>
      </c>
      <c r="J25" s="65"/>
      <c r="K25" s="28">
        <v>15</v>
      </c>
      <c r="L25" s="29"/>
      <c r="M25" s="29"/>
      <c r="N25" s="89"/>
      <c r="O25" s="29"/>
      <c r="P25" s="30"/>
      <c r="Q25" s="31"/>
      <c r="R25" s="35">
        <f t="shared" si="2"/>
        <v>0</v>
      </c>
      <c r="T25" s="8">
        <v>10</v>
      </c>
      <c r="U25" s="8" t="s">
        <v>588</v>
      </c>
      <c r="V25" s="8">
        <v>152550</v>
      </c>
      <c r="W25" s="8" t="s">
        <v>590</v>
      </c>
    </row>
    <row r="26" spans="2:23" ht="15">
      <c r="B26" s="87"/>
      <c r="C26" s="45"/>
      <c r="D26" s="46"/>
      <c r="E26" s="46"/>
      <c r="F26" s="113"/>
      <c r="G26" s="117"/>
      <c r="H26" s="65"/>
      <c r="I26" s="65">
        <v>0</v>
      </c>
      <c r="J26" s="65"/>
      <c r="K26" s="28">
        <v>16</v>
      </c>
      <c r="L26" s="29"/>
      <c r="M26" s="29"/>
      <c r="N26" s="89"/>
      <c r="O26" s="29"/>
      <c r="P26" s="30">
        <v>1.5</v>
      </c>
      <c r="Q26" s="31"/>
      <c r="R26" s="35">
        <f t="shared" si="2"/>
        <v>0</v>
      </c>
      <c r="T26" s="8">
        <v>18</v>
      </c>
      <c r="U26" s="8" t="s">
        <v>594</v>
      </c>
      <c r="V26" s="8">
        <v>263443</v>
      </c>
      <c r="W26" s="8" t="s">
        <v>590</v>
      </c>
    </row>
    <row r="27" spans="2:23" ht="15">
      <c r="B27" s="87"/>
      <c r="C27" s="45"/>
      <c r="D27" s="46"/>
      <c r="E27" s="46"/>
      <c r="F27" s="113"/>
      <c r="G27" s="117"/>
      <c r="H27" s="65"/>
      <c r="I27" s="65">
        <v>0</v>
      </c>
      <c r="J27" s="65"/>
      <c r="K27" s="28">
        <v>17</v>
      </c>
      <c r="L27" s="29"/>
      <c r="M27" s="29"/>
      <c r="N27" s="89"/>
      <c r="O27" s="29"/>
      <c r="P27" s="30">
        <v>1.5</v>
      </c>
      <c r="Q27" s="31"/>
      <c r="R27" s="35">
        <f t="shared" si="2"/>
        <v>0</v>
      </c>
      <c r="T27" s="91">
        <v>10</v>
      </c>
      <c r="U27" s="91" t="s">
        <v>597</v>
      </c>
      <c r="V27" s="91">
        <v>135600</v>
      </c>
      <c r="W27" s="91" t="s">
        <v>590</v>
      </c>
    </row>
    <row r="28" spans="2:26" ht="15.75" thickBot="1">
      <c r="B28" s="111"/>
      <c r="C28" s="47"/>
      <c r="D28" s="48"/>
      <c r="E28" s="48"/>
      <c r="F28" s="114"/>
      <c r="G28" s="117"/>
      <c r="H28" s="66"/>
      <c r="I28" s="66">
        <v>0</v>
      </c>
      <c r="J28" s="66"/>
      <c r="K28" s="28">
        <v>18</v>
      </c>
      <c r="L28" s="29"/>
      <c r="M28" s="29"/>
      <c r="N28" s="89"/>
      <c r="O28" s="29"/>
      <c r="P28" s="32">
        <v>1.5</v>
      </c>
      <c r="Q28" s="33"/>
      <c r="R28" s="35">
        <f t="shared" si="2"/>
        <v>0</v>
      </c>
      <c r="V28" s="8">
        <v>190100</v>
      </c>
      <c r="W28" s="8" t="s">
        <v>587</v>
      </c>
      <c r="Y28" s="8">
        <f>+V28+V29+V30+V31</f>
        <v>702073</v>
      </c>
      <c r="Z28" s="8" t="s">
        <v>606</v>
      </c>
    </row>
    <row r="29" spans="2:23" ht="15">
      <c r="B29" s="87"/>
      <c r="C29" s="68" t="s">
        <v>617</v>
      </c>
      <c r="E29" s="42"/>
      <c r="F29" s="57"/>
      <c r="G29" s="49" t="s">
        <v>3</v>
      </c>
      <c r="H29" s="52"/>
      <c r="I29" s="50"/>
      <c r="J29" s="95">
        <f>SUM(J11:J28)</f>
        <v>285990</v>
      </c>
      <c r="V29" s="8">
        <f>108806+31065+39602</f>
        <v>179473</v>
      </c>
      <c r="W29" s="8" t="s">
        <v>609</v>
      </c>
    </row>
    <row r="30" spans="2:23" ht="15">
      <c r="B30" s="51"/>
      <c r="C30" s="52"/>
      <c r="D30" s="42" t="s">
        <v>620</v>
      </c>
      <c r="E30" s="42"/>
      <c r="F30" s="53"/>
      <c r="G30" s="54" t="s">
        <v>13</v>
      </c>
      <c r="H30" s="55"/>
      <c r="I30" s="56"/>
      <c r="J30" s="96">
        <f>J29*I30</f>
        <v>0</v>
      </c>
      <c r="V30" s="8">
        <v>32500</v>
      </c>
      <c r="W30" s="8" t="s">
        <v>589</v>
      </c>
    </row>
    <row r="31" spans="2:23" ht="15">
      <c r="B31" s="41"/>
      <c r="C31" s="42"/>
      <c r="D31" s="42"/>
      <c r="E31" s="42"/>
      <c r="F31" s="57"/>
      <c r="G31" s="58" t="s">
        <v>4</v>
      </c>
      <c r="H31" s="52"/>
      <c r="I31" s="59"/>
      <c r="J31" s="96">
        <f>J29-J30</f>
        <v>285990</v>
      </c>
      <c r="V31" s="8">
        <v>300000</v>
      </c>
      <c r="W31" s="8" t="s">
        <v>591</v>
      </c>
    </row>
    <row r="32" spans="2:26" ht="15">
      <c r="B32" s="41"/>
      <c r="C32" s="42"/>
      <c r="D32" s="42"/>
      <c r="E32" s="42"/>
      <c r="F32" s="53"/>
      <c r="G32" s="54">
        <v>0.19</v>
      </c>
      <c r="H32" s="55"/>
      <c r="I32" s="56">
        <v>0.19</v>
      </c>
      <c r="J32" s="96">
        <f>J31*I32</f>
        <v>54338.1</v>
      </c>
      <c r="V32" s="8">
        <v>324800</v>
      </c>
      <c r="W32" s="8" t="s">
        <v>592</v>
      </c>
      <c r="Y32" s="8">
        <f>+V32</f>
        <v>324800</v>
      </c>
      <c r="Z32" s="8" t="s">
        <v>607</v>
      </c>
    </row>
    <row r="33" spans="2:10" ht="15.75" thickBot="1">
      <c r="B33" s="43"/>
      <c r="C33" s="44"/>
      <c r="D33" s="44"/>
      <c r="E33" s="44"/>
      <c r="F33" s="60"/>
      <c r="G33" s="61" t="s">
        <v>2</v>
      </c>
      <c r="H33" s="62"/>
      <c r="I33" s="63"/>
      <c r="J33" s="97">
        <f>J31+J32</f>
        <v>340328.1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B8:C8"/>
    <mergeCell ref="E5:J5"/>
    <mergeCell ref="F6:H6"/>
    <mergeCell ref="F7:H7"/>
    <mergeCell ref="F8:H8"/>
    <mergeCell ref="C16:E16"/>
    <mergeCell ref="C10:E10"/>
    <mergeCell ref="C11:E11"/>
    <mergeCell ref="C12:E12"/>
    <mergeCell ref="C13:E13"/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  <mergeCell ref="C22:E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2" ht="15">
      <c r="A107">
        <v>106</v>
      </c>
      <c r="B107" s="36" t="s">
        <v>579</v>
      </c>
      <c r="C107" t="s">
        <v>583</v>
      </c>
      <c r="E107" t="s">
        <v>580</v>
      </c>
      <c r="F107" t="s">
        <v>581</v>
      </c>
      <c r="G107" t="s">
        <v>582</v>
      </c>
      <c r="I107" t="s">
        <v>584</v>
      </c>
      <c r="J107">
        <v>71070075</v>
      </c>
      <c r="L107" s="94" t="s">
        <v>611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2015-10-13T16:02:45Z</cp:lastPrinted>
  <dcterms:created xsi:type="dcterms:W3CDTF">2013-07-12T05:01:37Z</dcterms:created>
  <dcterms:modified xsi:type="dcterms:W3CDTF">2015-10-13T16:02:52Z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