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O20" authorId="0">
      <text>
        <r>
          <rPr>
            <b/>
            <sz val="9"/>
            <rFont val="Tahoma"/>
            <family val="0"/>
          </rPr>
          <t>FLEXI</t>
        </r>
        <r>
          <rPr>
            <sz val="9"/>
            <rFont val="Tahoma"/>
            <family val="0"/>
          </rPr>
          <t xml:space="preserve">
</t>
        </r>
      </text>
    </comment>
    <comment ref="O23" authorId="0">
      <text>
        <r>
          <rPr>
            <b/>
            <sz val="9"/>
            <rFont val="Tahoma"/>
            <family val="0"/>
          </rPr>
          <t>riveraravera:</t>
        </r>
        <r>
          <rPr>
            <sz val="9"/>
            <rFont val="Tahoma"/>
            <family val="0"/>
          </rPr>
          <t>FLEXICHI</t>
        </r>
      </text>
    </comment>
  </commentList>
</comments>
</file>

<file path=xl/sharedStrings.xml><?xml version="1.0" encoding="utf-8"?>
<sst xmlns="http://schemas.openxmlformats.org/spreadsheetml/2006/main" count="858" uniqueCount="623">
  <si>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</si>
  <si>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</si>
  <si>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</si>
  <si>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</si>
  <si>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</si>
  <si>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</si>
  <si>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</si>
  <si>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</si>
  <si>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</si>
  <si>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</si>
  <si>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</si>
  <si>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</si>
  <si>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</si>
  <si>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</si>
  <si>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</si>
  <si>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</si>
  <si>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</si>
  <si>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</si>
  <si>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</si>
  <si>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</si>
  <si>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</si>
  <si>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</si>
  <si>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</si>
  <si>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</si>
  <si>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</si>
  <si>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</si>
  <si>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</si>
  <si>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</si>
  <si>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</si>
  <si>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</si>
  <si>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</si>
  <si>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</si>
  <si>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</si>
  <si>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</si>
  <si>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</si>
  <si>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</si>
  <si>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</si>
  <si>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</si>
  <si>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</si>
  <si>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</si>
  <si>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</si>
  <si>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</si>
  <si>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</si>
  <si>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</si>
  <si>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</si>
  <si>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</si>
  <si>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</si>
  <si>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</si>
  <si>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</si>
  <si>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</si>
  <si>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</si>
  <si>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</si>
  <si>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</si>
  <si>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</si>
  <si>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</si>
  <si>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</si>
  <si>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</si>
  <si>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</si>
  <si>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</si>
  <si>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</si>
  <si>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</si>
  <si>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</si>
  <si>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</si>
  <si>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</si>
  <si>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</si>
  <si>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</si>
  <si>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</si>
  <si>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</si>
  <si>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</si>
  <si>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</si>
  <si>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</si>
  <si>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</si>
  <si>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</si>
  <si>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</si>
  <si>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</si>
  <si>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</si>
  <si>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</si>
  <si>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</si>
  <si>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</si>
  <si>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</si>
  <si>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</si>
  <si>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</si>
  <si>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</si>
  <si>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</si>
  <si>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</si>
  <si>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</si>
  <si>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</si>
  <si>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</si>
  <si>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</si>
  <si>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</si>
  <si>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</si>
  <si>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</si>
  <si>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</si>
  <si>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</si>
  <si>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</si>
  <si>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</si>
  <si>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</si>
  <si>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</si>
  <si>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</si>
  <si>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</si>
  <si>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</si>
  <si>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</si>
  <si>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</si>
  <si>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</si>
  <si>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</si>
  <si>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</si>
  <si>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</si>
  <si>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</si>
  <si>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</si>
  <si>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</si>
  <si>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</si>
  <si>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</si>
  <si>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</si>
  <si>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</si>
  <si>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</si>
  <si>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</si>
  <si>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</si>
  <si>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</si>
  <si>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</si>
  <si>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</si>
  <si>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</si>
  <si>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</si>
  <si>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</si>
  <si>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</si>
  <si>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</si>
  <si>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</si>
  <si>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</si>
  <si>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</si>
  <si>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</si>
  <si>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</si>
  <si>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</si>
  <si>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</si>
  <si>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</si>
  <si>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</si>
  <si>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</si>
  <si>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</si>
  <si>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</si>
  <si>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</si>
  <si>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</si>
  <si>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</si>
  <si>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</si>
  <si>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</si>
  <si>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</si>
  <si>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</si>
  <si>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</si>
  <si>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</si>
  <si>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</si>
  <si>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</si>
  <si>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</si>
  <si>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</si>
  <si>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</si>
  <si>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</si>
  <si>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</si>
  <si>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</si>
  <si>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</si>
  <si>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</si>
  <si>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</si>
  <si>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</si>
  <si>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</si>
  <si>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</si>
  <si>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</si>
  <si>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</si>
  <si>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</si>
  <si>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</si>
  <si>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</si>
  <si>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</si>
  <si>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</si>
  <si>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</si>
  <si>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</si>
  <si>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</si>
  <si>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</si>
  <si>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</si>
  <si>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</si>
  <si>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</si>
  <si>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</si>
  <si>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</si>
  <si>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</si>
  <si>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</si>
  <si>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</si>
  <si>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</si>
  <si>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</si>
  <si>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</si>
  <si>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</si>
  <si>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</si>
  <si>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</si>
  <si>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</si>
  <si>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</si>
  <si>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</si>
  <si>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</si>
  <si>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</si>
  <si>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</si>
  <si>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</si>
  <si>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</si>
  <si>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</si>
  <si>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</si>
  <si>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</si>
  <si>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</si>
  <si>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</si>
  <si>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</si>
  <si>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</si>
  <si>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</si>
  <si>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</si>
  <si>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</si>
  <si>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</si>
  <si>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</si>
  <si>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</si>
  <si>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</si>
  <si>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</si>
  <si>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</si>
  <si>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</si>
  <si>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</si>
  <si>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</si>
  <si>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</si>
  <si>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</si>
  <si>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</si>
  <si>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</si>
  <si>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</si>
  <si>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</si>
  <si>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</si>
  <si>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</si>
  <si>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</si>
  <si>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</si>
  <si>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</si>
  <si>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</si>
  <si>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</si>
  <si>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</si>
  <si>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</si>
  <si>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</si>
  <si>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</si>
  <si>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</si>
  <si>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</si>
  <si>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</si>
  <si>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</si>
  <si>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</si>
  <si>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</si>
  <si>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</si>
  <si>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</si>
  <si>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</si>
  <si>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</si>
  <si>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</si>
  <si>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</si>
  <si>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</si>
  <si>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</si>
  <si>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</si>
  <si>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</si>
  <si>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</si>
  <si>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</si>
  <si>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</si>
  <si>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</si>
  <si>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</si>
  <si>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</si>
  <si>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</si>
  <si>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</si>
  <si>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</si>
  <si>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</si>
  <si>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</si>
  <si>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</si>
  <si>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</si>
  <si>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</si>
  <si>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</si>
  <si>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</si>
  <si>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</si>
  <si>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</si>
  <si>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</si>
  <si>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</si>
  <si>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</si>
  <si>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</si>
  <si>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</si>
  <si>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</si>
  <si>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</si>
  <si>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</si>
  <si>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</si>
  <si>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</si>
  <si>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</si>
  <si>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</si>
  <si>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</si>
  <si>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</si>
  <si>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</si>
  <si>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</si>
  <si>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</si>
  <si>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</si>
  <si>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</si>
  <si>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</si>
  <si>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</si>
  <si>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</si>
  <si>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</si>
  <si>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</si>
  <si>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</si>
  <si>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</si>
  <si>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</si>
  <si>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</si>
  <si>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</si>
  <si>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</si>
  <si>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</si>
  <si>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</si>
  <si>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</si>
  <si>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</si>
  <si>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</si>
  <si>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</si>
  <si>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</si>
  <si>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</si>
  <si>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</si>
  <si>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</si>
  <si>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</si>
  <si>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</si>
  <si>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</si>
  <si>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</si>
  <si>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</si>
  <si>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</si>
  <si>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</si>
  <si>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</si>
  <si>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</si>
  <si>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</si>
  <si>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</si>
  <si>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</si>
  <si>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</si>
  <si>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</si>
  <si>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</si>
  <si>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</si>
  <si>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</si>
  <si>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</si>
  <si>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</si>
  <si>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</si>
  <si>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</si>
  <si>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</si>
  <si>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</si>
  <si>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</si>
  <si>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</si>
  <si>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</si>
  <si>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</si>
  <si>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</si>
  <si>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</si>
  <si>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</si>
  <si>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</si>
  <si>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</si>
  <si>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</si>
  <si>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</si>
  <si>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</si>
  <si>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</si>
  <si>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</si>
  <si>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</si>
  <si>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</si>
  <si>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</si>
  <si>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</si>
  <si>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</si>
  <si>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</si>
  <si>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</si>
  <si>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</si>
  <si>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</si>
  <si>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</si>
  <si>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</si>
  <si>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</si>
  <si>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</si>
  <si>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</si>
  <si>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</si>
  <si>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</si>
  <si>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</si>
  <si>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</si>
  <si>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</si>
  <si>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</si>
  <si>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</si>
  <si>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</si>
  <si>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</si>
  <si>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</si>
  <si>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</si>
  <si>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</si>
  <si>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</si>
  <si>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</si>
  <si>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</si>
  <si>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</si>
  <si>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</si>
  <si>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</si>
  <si>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</si>
  <si>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</si>
  <si>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</si>
  <si>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</si>
  <si>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</si>
  <si>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</si>
  <si>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</si>
  <si>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</si>
  <si>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</si>
  <si>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</si>
  <si>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</si>
  <si>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</si>
  <si>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</si>
  <si>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</si>
  <si>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</si>
  <si>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</si>
  <si>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</si>
  <si>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</si>
  <si>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</si>
  <si>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</si>
  <si>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</si>
  <si>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</si>
  <si>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</si>
  <si>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</si>
  <si>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</si>
  <si>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</si>
  <si>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</si>
  <si>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</si>
  <si>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</si>
  <si>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</si>
  <si>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</si>
  <si>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</si>
  <si>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</si>
  <si>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</si>
  <si>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</si>
  <si>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</si>
  <si>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</si>
  <si>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</si>
  <si>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</si>
  <si>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</si>
  <si>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</si>
  <si>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</si>
  <si>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</si>
  <si>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</si>
  <si>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</si>
  <si>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</si>
  <si>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</si>
  <si>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</si>
  <si>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</si>
  <si>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</si>
  <si>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</si>
  <si>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</si>
  <si>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</si>
  <si>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</si>
  <si>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</si>
  <si>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</si>
  <si>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</si>
  <si>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</si>
  <si>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</si>
  <si>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</si>
  <si>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</si>
  <si>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</si>
  <si>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</si>
  <si>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</si>
  <si>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</si>
  <si>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</si>
  <si>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</si>
  <si>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</si>
  <si>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</si>
  <si>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</si>
  <si>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</si>
  <si>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</si>
  <si>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</si>
  <si>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</si>
  <si>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</si>
  <si>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</si>
  <si>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</si>
  <si>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</si>
  <si>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</si>
  <si>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</si>
  <si>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</si>
  <si>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</si>
  <si>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</si>
  <si>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</si>
  <si>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</si>
  <si>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</si>
  <si>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</si>
  <si>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</si>
  <si>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</si>
  <si>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</si>
  <si>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</si>
  <si>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</si>
  <si>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</si>
  <si>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</si>
  <si>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</si>
  <si>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</si>
  <si>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</si>
  <si>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</si>
  <si>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</si>
  <si>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</si>
  <si>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</si>
  <si>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</si>
  <si>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</si>
  <si>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</si>
  <si>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</si>
  <si>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</si>
  <si>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</si>
  <si>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</si>
  <si>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</si>
  <si>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</si>
  <si>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</si>
  <si>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</si>
  <si>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</si>
  <si>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</si>
  <si>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</si>
  <si>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</si>
  <si>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</si>
  <si>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</si>
  <si>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</si>
  <si>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</si>
  <si>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</si>
  <si>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</si>
  <si>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</si>
  <si>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</si>
  <si>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</si>
  <si>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</si>
  <si>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</si>
  <si>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</si>
  <si>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</si>
  <si>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</si>
  <si>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</si>
  <si>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</si>
  <si>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</si>
  <si>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</si>
  <si>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</si>
  <si>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</si>
  <si>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</si>
  <si>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</si>
  <si>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</si>
  <si>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</si>
  <si>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</si>
  <si>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</si>
  <si>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</si>
  <si>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</si>
  <si>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</si>
  <si>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</si>
  <si>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</si>
  <si>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</si>
  <si>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</si>
  <si>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</si>
  <si>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</si>
  <si>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</si>
  <si>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</si>
  <si>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</si>
  <si>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</si>
  <si>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</si>
  <si>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</si>
  <si>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</si>
  <si>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</si>
  <si>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</si>
  <si>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</si>
  <si>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</si>
  <si>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</si>
  <si>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</si>
  <si>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</si>
  <si>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</si>
  <si>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</si>
  <si>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</si>
  <si>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</si>
  <si>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</si>
  <si>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</si>
  <si>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</si>
  <si>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</si>
  <si>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</si>
  <si>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</si>
  <si>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</si>
  <si>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</si>
  <si>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</si>
  <si>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</si>
  <si>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</si>
  <si>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</si>
  <si>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</si>
  <si>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</si>
  <si>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</si>
  <si>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</si>
  <si>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</si>
  <si>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</si>
  <si>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</si>
  <si>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</si>
  <si>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</si>
  <si>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</si>
  <si>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</si>
  <si>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</si>
  <si>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</si>
  <si>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</si>
  <si>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</si>
  <si>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</si>
  <si>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</si>
  <si>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</si>
  <si>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</si>
  <si>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</si>
  <si>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</si>
  <si>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</si>
  <si>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</si>
  <si>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</si>
  <si>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</si>
  <si>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</si>
  <si>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</si>
  <si>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</si>
  <si>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</si>
  <si>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</si>
  <si>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</si>
  <si>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</si>
  <si>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</si>
  <si>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</si>
  <si>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</si>
  <si>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</si>
  <si>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</si>
  <si>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</si>
  <si>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</si>
  <si>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</si>
  <si>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</si>
  <si>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</si>
  <si>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</si>
  <si>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</si>
  <si>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</si>
  <si>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</si>
  <si>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</si>
  <si>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</si>
  <si>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</si>
  <si>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</si>
  <si>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</si>
  <si>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</si>
  <si>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</si>
  <si>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</si>
  <si>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</si>
  <si>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</si>
  <si>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</si>
  <si>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AITEC S.A</t>
  </si>
  <si>
    <t>96.931.710-9</t>
  </si>
  <si>
    <t>Exportación, Importación y Comercialización de productos</t>
  </si>
  <si>
    <t>Felipe Aranda</t>
  </si>
  <si>
    <t>liodoro Yañez 1812</t>
  </si>
  <si>
    <t>faranda@aitec.cl</t>
  </si>
  <si>
    <t>CONEXIONES INOXIDABLES</t>
  </si>
  <si>
    <t>3 DIAS HABILES CONEXIONES INOX</t>
  </si>
  <si>
    <t>MANGUERA 1/2" GOMA 300 PSI  08MP-04FPX L 500 MM</t>
  </si>
  <si>
    <t>2526-A</t>
  </si>
  <si>
    <t>inspain</t>
  </si>
  <si>
    <t>( peso app 350 grs/unit)</t>
  </si>
  <si>
    <t>flexichile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</si>
</sst>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164" fontId="53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64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2" fillId="33" borderId="27" xfId="0" applyNumberFormat="1" applyFont="1" applyFill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28" xfId="0" applyFont="1" applyFill="1" applyBorder="1" applyAlignment="1" applyProtection="1">
      <alignment horizontal="center"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9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30" xfId="0" applyFont="1" applyFill="1" applyBorder="1" applyAlignment="1" applyProtection="1">
      <alignment horizontal="right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2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3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4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5" xfId="0" applyFont="1" applyFill="1" applyBorder="1" applyAlignment="1" applyProtection="1">
      <alignment horizontal="right"/>
      <protection locked="0"/>
    </xf>
    <xf numFmtId="1" fontId="52" fillId="33" borderId="36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27" xfId="0" applyNumberFormat="1" applyFont="1" applyFill="1" applyBorder="1" applyAlignment="1" applyProtection="1">
      <alignment horizontal="center"/>
      <protection/>
    </xf>
    <xf numFmtId="166" fontId="52" fillId="33" borderId="27" xfId="0" applyNumberFormat="1" applyFont="1" applyFill="1" applyBorder="1" applyAlignment="1" applyProtection="1">
      <alignment horizontal="center"/>
      <protection locked="0"/>
    </xf>
    <xf numFmtId="166" fontId="52" fillId="33" borderId="12" xfId="0" applyNumberFormat="1" applyFont="1" applyFill="1" applyBorder="1" applyAlignment="1" applyProtection="1">
      <alignment horizontal="center"/>
      <protection/>
    </xf>
    <xf numFmtId="166" fontId="52" fillId="33" borderId="28" xfId="0" applyNumberFormat="1" applyFont="1" applyFill="1" applyBorder="1" applyAlignment="1" applyProtection="1">
      <alignment horizontal="center"/>
      <protection/>
    </xf>
    <xf numFmtId="166" fontId="52" fillId="33" borderId="28" xfId="0" applyNumberFormat="1" applyFont="1" applyFill="1" applyBorder="1" applyAlignment="1" applyProtection="1">
      <alignment horizontal="center"/>
      <protection locked="0"/>
    </xf>
    <xf numFmtId="166" fontId="52" fillId="33" borderId="15" xfId="0" applyNumberFormat="1" applyFont="1" applyFill="1" applyBorder="1" applyAlignment="1" applyProtection="1">
      <alignment horizontal="center"/>
      <protection/>
    </xf>
    <xf numFmtId="166" fontId="52" fillId="33" borderId="37" xfId="0" applyNumberFormat="1" applyFont="1" applyFill="1" applyBorder="1" applyAlignment="1" applyProtection="1">
      <alignment horizontal="center"/>
      <protection/>
    </xf>
    <xf numFmtId="166" fontId="52" fillId="33" borderId="37" xfId="0" applyNumberFormat="1" applyFont="1" applyFill="1" applyBorder="1" applyAlignment="1" applyProtection="1">
      <alignment horizont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0" fillId="0" borderId="0" xfId="0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166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52" fillId="33" borderId="27" xfId="0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6" fillId="33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52" fillId="0" borderId="38" xfId="0" applyFont="1" applyBorder="1" applyAlignment="1" applyProtection="1">
      <alignment horizontal="center"/>
      <protection locked="0"/>
    </xf>
    <xf numFmtId="0" fontId="52" fillId="0" borderId="39" xfId="0" applyFont="1" applyBorder="1" applyAlignment="1" applyProtection="1">
      <alignment horizontal="center"/>
      <protection locked="0"/>
    </xf>
    <xf numFmtId="0" fontId="52" fillId="0" borderId="40" xfId="0" applyFont="1" applyBorder="1" applyAlignment="1" applyProtection="1">
      <alignment horizontal="center"/>
      <protection locked="0"/>
    </xf>
    <xf numFmtId="0" fontId="52" fillId="0" borderId="41" xfId="0" applyFont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37" xfId="0" applyFont="1" applyFill="1" applyBorder="1" applyAlignment="1" applyProtection="1">
      <alignment horizontal="center"/>
      <protection locked="0"/>
    </xf>
    <xf numFmtId="16" fontId="51" fillId="0" borderId="0" xfId="0" applyNumberFormat="1" applyFont="1" applyAlignment="1" applyProtection="1">
      <alignment/>
      <protection locked="0"/>
    </xf>
    <xf numFmtId="0" fontId="52" fillId="0" borderId="42" xfId="0" applyFont="1" applyBorder="1" applyAlignment="1" applyProtection="1">
      <alignment horizontal="center"/>
      <protection locked="0"/>
    </xf>
    <xf numFmtId="0" fontId="52" fillId="0" borderId="43" xfId="0" applyFont="1" applyBorder="1" applyAlignment="1" applyProtection="1">
      <alignment/>
      <protection locked="0"/>
    </xf>
    <xf numFmtId="0" fontId="52" fillId="0" borderId="44" xfId="0" applyFont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 horizontal="left" vertical="center" wrapText="1"/>
      <protection locked="0"/>
    </xf>
    <xf numFmtId="0" fontId="52" fillId="0" borderId="11" xfId="0" applyFont="1" applyBorder="1" applyAlignment="1" applyProtection="1">
      <alignment vertical="center"/>
      <protection locked="0"/>
    </xf>
    <xf numFmtId="0" fontId="52" fillId="0" borderId="12" xfId="0" applyFont="1" applyBorder="1" applyAlignment="1" applyProtection="1">
      <alignment vertical="center"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66" fontId="53" fillId="33" borderId="0" xfId="0" applyNumberFormat="1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42100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hyperlink" Target="mailto:faranda@aitec.cl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L6" sqref="L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14.003906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8515625" style="8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7" t="s">
        <v>619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8" t="s">
        <v>611</v>
      </c>
      <c r="E4" s="38" t="s">
        <v>12</v>
      </c>
      <c r="F4" s="89"/>
      <c r="G4" s="89"/>
      <c r="H4" s="90"/>
      <c r="I4" s="38" t="s">
        <v>9</v>
      </c>
      <c r="J4" s="91">
        <f>VLOOKUP(D4,CLIENTES,10,FALSE)</f>
        <v>0</v>
      </c>
      <c r="K4" s="20"/>
    </row>
    <row r="5" spans="2:11" ht="15">
      <c r="B5" s="39"/>
      <c r="C5" s="40"/>
      <c r="D5" s="92"/>
      <c r="E5" s="121" t="str">
        <f>VLOOKUP(D4,CLIENTES,4,FALSE)</f>
        <v>liodoro Yañez 1812</v>
      </c>
      <c r="F5" s="121"/>
      <c r="G5" s="121"/>
      <c r="H5" s="121"/>
      <c r="I5" s="121"/>
      <c r="J5" s="122"/>
      <c r="K5" s="20"/>
    </row>
    <row r="6" spans="2:10" ht="17.25" customHeight="1">
      <c r="B6" s="39" t="s">
        <v>27</v>
      </c>
      <c r="C6" s="40"/>
      <c r="D6" s="93" t="str">
        <f>VLOOKUP(D4,CLIENTES,2,FALSE)</f>
        <v>AITEC S.A</v>
      </c>
      <c r="E6" s="40" t="s">
        <v>7</v>
      </c>
      <c r="F6" s="121">
        <f>VLOOKUP(D4,CLIENTES,5,FALSE)</f>
        <v>0</v>
      </c>
      <c r="G6" s="121"/>
      <c r="H6" s="121"/>
      <c r="I6" s="94" t="str">
        <f>VLOOKUP(D4,CLIENTES,11,FALSE)</f>
        <v>faranda@aitec.cl</v>
      </c>
      <c r="J6" s="95"/>
    </row>
    <row r="7" spans="2:10" ht="15">
      <c r="B7" s="39" t="s">
        <v>25</v>
      </c>
      <c r="C7" s="40"/>
      <c r="D7" s="93" t="str">
        <f>VLOOKUP(D4,CLIENTES,3,FALSE)</f>
        <v>Exportación, Importación y Comercialización de productos</v>
      </c>
      <c r="E7" s="40" t="s">
        <v>8</v>
      </c>
      <c r="F7" s="121">
        <f>VLOOKUP(D4,CLIENTES,6,FALSE)</f>
        <v>0</v>
      </c>
      <c r="G7" s="121"/>
      <c r="H7" s="121"/>
      <c r="I7" s="40" t="s">
        <v>26</v>
      </c>
      <c r="J7" s="96" t="str">
        <f>VLOOKUP(D4,CLIENTES,8,FALSE)</f>
        <v>Felipe Aranda</v>
      </c>
    </row>
    <row r="8" spans="2:12" ht="15.75" thickBot="1">
      <c r="B8" s="119" t="s">
        <v>28</v>
      </c>
      <c r="C8" s="120"/>
      <c r="D8" s="93">
        <f>VLOOKUP(D4,CLIENTES,7,FALSE)</f>
        <v>0</v>
      </c>
      <c r="E8" s="40" t="s">
        <v>11</v>
      </c>
      <c r="F8" s="121">
        <f>VLOOKUP(D4,CLIENTES,12,FALSE)</f>
        <v>0</v>
      </c>
      <c r="G8" s="121"/>
      <c r="H8" s="121"/>
      <c r="I8" s="40" t="s">
        <v>14</v>
      </c>
      <c r="J8" s="41">
        <f ca="1">TODAY()</f>
        <v>42111</v>
      </c>
      <c r="K8" s="20"/>
      <c r="L8" s="20"/>
    </row>
    <row r="9" spans="2:18" ht="15.75" customHeight="1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104" t="s">
        <v>622</v>
      </c>
      <c r="P9" s="21"/>
      <c r="Q9" s="22" t="s">
        <v>21</v>
      </c>
      <c r="R9" s="23" t="s">
        <v>22</v>
      </c>
    </row>
    <row r="10" spans="2:18" ht="15.75" thickBot="1">
      <c r="B10" s="105" t="s">
        <v>1</v>
      </c>
      <c r="C10" s="113" t="s">
        <v>24</v>
      </c>
      <c r="D10" s="114"/>
      <c r="E10" s="115"/>
      <c r="F10" s="106" t="s">
        <v>0</v>
      </c>
      <c r="G10" s="107" t="s">
        <v>23</v>
      </c>
      <c r="H10" s="107" t="s">
        <v>15</v>
      </c>
      <c r="I10" s="108" t="s">
        <v>13</v>
      </c>
      <c r="J10" s="109" t="s">
        <v>2</v>
      </c>
      <c r="K10" s="24" t="s">
        <v>18</v>
      </c>
      <c r="L10" s="25">
        <v>5112</v>
      </c>
      <c r="M10" t="s">
        <v>620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8" customHeight="1">
      <c r="B11" s="46">
        <v>1</v>
      </c>
      <c r="C11" s="116" t="s">
        <v>618</v>
      </c>
      <c r="D11" s="117"/>
      <c r="E11" s="118"/>
      <c r="F11" s="97">
        <v>50</v>
      </c>
      <c r="G11" s="56" t="s">
        <v>23</v>
      </c>
      <c r="H11" s="78">
        <f>VLOOKUP(B11,COTIZADO,8,FALSE)</f>
        <v>23100.000000000004</v>
      </c>
      <c r="I11" s="79"/>
      <c r="J11" s="80">
        <f>F11*H11*(1-I11/100)</f>
        <v>1155000.0000000002</v>
      </c>
      <c r="K11" s="28">
        <v>1</v>
      </c>
      <c r="L11" s="29">
        <v>10500</v>
      </c>
      <c r="M11" s="29">
        <v>25500</v>
      </c>
      <c r="N11" s="29"/>
      <c r="O11" s="29"/>
      <c r="P11" s="30">
        <v>2.2</v>
      </c>
      <c r="Q11" s="31">
        <f>+L11</f>
        <v>10500</v>
      </c>
      <c r="R11" s="35">
        <f>Q11*P11</f>
        <v>23100.000000000004</v>
      </c>
    </row>
    <row r="12" spans="2:18" ht="15">
      <c r="B12" s="103">
        <v>2</v>
      </c>
      <c r="C12" s="98" t="s">
        <v>616</v>
      </c>
      <c r="D12" s="99"/>
      <c r="E12" s="100"/>
      <c r="F12" s="101"/>
      <c r="G12" s="69"/>
      <c r="H12" s="81"/>
      <c r="I12" s="82"/>
      <c r="J12" s="83"/>
      <c r="K12" s="28">
        <v>2</v>
      </c>
      <c r="L12" s="29"/>
      <c r="M12" s="29"/>
      <c r="N12" s="29"/>
      <c r="O12" s="29"/>
      <c r="P12" s="30">
        <v>1.6</v>
      </c>
      <c r="Q12" s="31">
        <f>+O12</f>
        <v>0</v>
      </c>
      <c r="R12" s="35">
        <f aca="true" t="shared" si="0" ref="R12:R17">Q12*P12</f>
        <v>0</v>
      </c>
    </row>
    <row r="13" spans="2:18" ht="15">
      <c r="B13" s="103">
        <v>3</v>
      </c>
      <c r="C13" s="98"/>
      <c r="D13" t="s">
        <v>621</v>
      </c>
      <c r="E13" s="100"/>
      <c r="F13" s="101"/>
      <c r="G13" s="69"/>
      <c r="H13" s="81"/>
      <c r="I13" s="82"/>
      <c r="J13" s="83"/>
      <c r="K13" s="28">
        <v>3</v>
      </c>
      <c r="L13" s="29"/>
      <c r="M13" s="29"/>
      <c r="N13" s="29"/>
      <c r="O13" s="29"/>
      <c r="P13" s="30">
        <v>1.4</v>
      </c>
      <c r="Q13" s="31">
        <f>+M13</f>
        <v>0</v>
      </c>
      <c r="R13" s="35">
        <f t="shared" si="0"/>
        <v>0</v>
      </c>
    </row>
    <row r="14" spans="2:18" ht="15">
      <c r="B14" s="103">
        <v>4</v>
      </c>
      <c r="C14" s="98"/>
      <c r="D14" s="99"/>
      <c r="E14" s="100"/>
      <c r="F14" s="101"/>
      <c r="G14" s="69"/>
      <c r="H14" s="81"/>
      <c r="I14" s="82"/>
      <c r="J14" s="83"/>
      <c r="K14" s="28">
        <v>4</v>
      </c>
      <c r="L14" s="29"/>
      <c r="M14" s="29"/>
      <c r="N14" s="29"/>
      <c r="O14" s="29"/>
      <c r="P14" s="30">
        <v>1.4</v>
      </c>
      <c r="Q14" s="31">
        <f>+L14</f>
        <v>0</v>
      </c>
      <c r="R14" s="35">
        <f t="shared" si="0"/>
        <v>0</v>
      </c>
    </row>
    <row r="15" spans="2:18" ht="15">
      <c r="B15" s="103">
        <v>5</v>
      </c>
      <c r="C15" s="98"/>
      <c r="D15" s="99"/>
      <c r="E15" s="100"/>
      <c r="F15" s="101"/>
      <c r="G15" s="69"/>
      <c r="H15" s="81"/>
      <c r="I15" s="82"/>
      <c r="J15" s="83"/>
      <c r="K15" s="28">
        <v>5</v>
      </c>
      <c r="L15" s="29"/>
      <c r="M15" s="29"/>
      <c r="N15" s="29"/>
      <c r="O15" s="29"/>
      <c r="P15" s="30">
        <v>1.4</v>
      </c>
      <c r="Q15" s="31">
        <f>+M15</f>
        <v>0</v>
      </c>
      <c r="R15" s="35">
        <f t="shared" si="0"/>
        <v>0</v>
      </c>
    </row>
    <row r="16" spans="2:18" ht="15">
      <c r="B16" s="103">
        <v>6</v>
      </c>
      <c r="C16" s="98"/>
      <c r="D16" s="102"/>
      <c r="E16" s="102"/>
      <c r="F16" s="101"/>
      <c r="G16" s="69"/>
      <c r="H16" s="81"/>
      <c r="I16" s="82"/>
      <c r="J16" s="83"/>
      <c r="K16" s="28">
        <v>6</v>
      </c>
      <c r="L16" s="29"/>
      <c r="M16" s="29"/>
      <c r="N16" s="29"/>
      <c r="O16" s="29"/>
      <c r="P16" s="30">
        <v>1.4</v>
      </c>
      <c r="Q16" s="31">
        <f>+M16</f>
        <v>0</v>
      </c>
      <c r="R16" s="35">
        <f t="shared" si="0"/>
        <v>0</v>
      </c>
    </row>
    <row r="17" spans="2:18" ht="15">
      <c r="B17" s="103">
        <v>7</v>
      </c>
      <c r="C17" s="98"/>
      <c r="D17" s="48"/>
      <c r="E17" s="49"/>
      <c r="F17" s="101"/>
      <c r="G17" s="69"/>
      <c r="H17" s="81"/>
      <c r="I17" s="82"/>
      <c r="J17" s="83"/>
      <c r="K17" s="28">
        <v>7</v>
      </c>
      <c r="L17" s="29"/>
      <c r="M17" s="29"/>
      <c r="N17" s="29"/>
      <c r="O17" s="29"/>
      <c r="P17" s="30">
        <v>1.6</v>
      </c>
      <c r="Q17" s="31">
        <f>+O17</f>
        <v>0</v>
      </c>
      <c r="R17" s="35">
        <f t="shared" si="0"/>
        <v>0</v>
      </c>
    </row>
    <row r="18" spans="2:18" ht="15">
      <c r="B18" s="103">
        <v>8</v>
      </c>
      <c r="C18" s="98"/>
      <c r="D18" s="48"/>
      <c r="E18" s="49"/>
      <c r="F18" s="101"/>
      <c r="G18" s="69"/>
      <c r="H18" s="81"/>
      <c r="I18" s="82"/>
      <c r="J18" s="83"/>
      <c r="K18" s="28">
        <v>8</v>
      </c>
      <c r="L18" s="29"/>
      <c r="M18" s="29"/>
      <c r="N18" s="29"/>
      <c r="O18" s="29"/>
      <c r="P18" s="30">
        <v>1.4</v>
      </c>
      <c r="Q18" s="31">
        <f>+L18</f>
        <v>0</v>
      </c>
      <c r="R18" s="35">
        <f aca="true" t="shared" si="1" ref="R18:R28">Q18*P18</f>
        <v>0</v>
      </c>
    </row>
    <row r="19" spans="2:18" ht="15">
      <c r="B19" s="103">
        <v>9</v>
      </c>
      <c r="C19" s="98"/>
      <c r="D19" s="48"/>
      <c r="E19" s="49"/>
      <c r="F19" s="101"/>
      <c r="G19" s="69"/>
      <c r="H19" s="81"/>
      <c r="I19" s="82"/>
      <c r="J19" s="83"/>
      <c r="K19" s="28">
        <v>9</v>
      </c>
      <c r="L19" s="29"/>
      <c r="M19" s="29"/>
      <c r="N19" s="29"/>
      <c r="O19" s="29"/>
      <c r="P19" s="30">
        <v>1.4</v>
      </c>
      <c r="Q19" s="31">
        <f>+M19</f>
        <v>0</v>
      </c>
      <c r="R19" s="35">
        <f t="shared" si="1"/>
        <v>0</v>
      </c>
    </row>
    <row r="20" spans="2:18" ht="15">
      <c r="B20" s="103">
        <v>10</v>
      </c>
      <c r="C20" s="98"/>
      <c r="D20" s="48"/>
      <c r="E20" s="49"/>
      <c r="F20" s="101"/>
      <c r="G20" s="69"/>
      <c r="H20" s="81"/>
      <c r="I20" s="82"/>
      <c r="J20" s="83"/>
      <c r="K20" s="28">
        <v>10</v>
      </c>
      <c r="L20" s="29"/>
      <c r="M20" s="29"/>
      <c r="N20" s="29"/>
      <c r="O20" s="29"/>
      <c r="P20" s="30">
        <v>1.4</v>
      </c>
      <c r="Q20" s="31">
        <f>+N20</f>
        <v>0</v>
      </c>
      <c r="R20" s="35">
        <f t="shared" si="1"/>
        <v>0</v>
      </c>
    </row>
    <row r="21" spans="2:18" ht="15">
      <c r="B21" s="103">
        <v>11</v>
      </c>
      <c r="C21" s="98"/>
      <c r="D21" s="48"/>
      <c r="E21" s="49"/>
      <c r="F21" s="101"/>
      <c r="G21" s="69"/>
      <c r="H21" s="81"/>
      <c r="I21" s="82"/>
      <c r="J21" s="83"/>
      <c r="K21" s="28">
        <v>11</v>
      </c>
      <c r="L21" s="29"/>
      <c r="M21" s="29"/>
      <c r="N21" s="29"/>
      <c r="O21" s="29"/>
      <c r="P21" s="30">
        <v>1.4</v>
      </c>
      <c r="Q21" s="31">
        <f>+L21</f>
        <v>0</v>
      </c>
      <c r="R21" s="35">
        <f t="shared" si="1"/>
        <v>0</v>
      </c>
    </row>
    <row r="22" spans="2:18" ht="15">
      <c r="B22" s="103">
        <v>12</v>
      </c>
      <c r="C22" s="98"/>
      <c r="D22" s="48"/>
      <c r="E22" s="49"/>
      <c r="F22" s="101"/>
      <c r="G22" s="69"/>
      <c r="H22" s="81"/>
      <c r="I22" s="82"/>
      <c r="J22" s="83"/>
      <c r="K22" s="28">
        <v>12</v>
      </c>
      <c r="L22" s="29"/>
      <c r="M22" s="29"/>
      <c r="N22" s="29"/>
      <c r="O22" s="29"/>
      <c r="P22" s="30">
        <v>1.37</v>
      </c>
      <c r="Q22" s="31">
        <f>+M22</f>
        <v>0</v>
      </c>
      <c r="R22" s="35">
        <f t="shared" si="1"/>
        <v>0</v>
      </c>
    </row>
    <row r="23" spans="2:18" ht="15">
      <c r="B23" s="103">
        <v>13</v>
      </c>
      <c r="C23" s="98"/>
      <c r="D23" s="48"/>
      <c r="E23" s="49"/>
      <c r="F23" s="101"/>
      <c r="G23" s="69"/>
      <c r="H23" s="81"/>
      <c r="I23" s="82"/>
      <c r="J23" s="83"/>
      <c r="K23" s="28">
        <v>13</v>
      </c>
      <c r="L23" s="29"/>
      <c r="M23" s="29"/>
      <c r="N23" s="29"/>
      <c r="O23" s="29"/>
      <c r="P23" s="30">
        <v>1.4</v>
      </c>
      <c r="Q23" s="31">
        <f>+N23</f>
        <v>0</v>
      </c>
      <c r="R23" s="35">
        <f t="shared" si="1"/>
        <v>0</v>
      </c>
    </row>
    <row r="24" spans="2:18" ht="15">
      <c r="B24" s="103">
        <v>14</v>
      </c>
      <c r="C24" s="47"/>
      <c r="D24" s="48"/>
      <c r="E24" s="49"/>
      <c r="F24" s="50"/>
      <c r="G24" s="110"/>
      <c r="H24" s="81">
        <f>VLOOKUP(B24,COTIZADO,8,FALSE)</f>
        <v>0</v>
      </c>
      <c r="I24" s="82"/>
      <c r="J24" s="83">
        <f>F24*H24*(1-I24/100)</f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03">
        <v>15</v>
      </c>
      <c r="C25" s="47"/>
      <c r="D25" s="48"/>
      <c r="E25" s="49"/>
      <c r="F25" s="50"/>
      <c r="G25" s="110"/>
      <c r="H25" s="81">
        <f>VLOOKUP(B25,COTIZADO,8,FALSE)</f>
        <v>0</v>
      </c>
      <c r="I25" s="82">
        <v>0</v>
      </c>
      <c r="J25" s="83">
        <f>F25*H25*(1-I25/100)</f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03">
        <v>16</v>
      </c>
      <c r="C26" s="47"/>
      <c r="D26" s="48"/>
      <c r="E26" s="49"/>
      <c r="F26" s="50"/>
      <c r="G26" s="110"/>
      <c r="H26" s="81">
        <f>VLOOKUP(B26,COTIZADO,8,FALSE)</f>
        <v>0</v>
      </c>
      <c r="I26" s="82">
        <v>0</v>
      </c>
      <c r="J26" s="83">
        <f>F26*H26*(1-I26/100)</f>
        <v>0</v>
      </c>
      <c r="K26" s="28">
        <v>16</v>
      </c>
      <c r="L26" s="112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03">
        <v>17</v>
      </c>
      <c r="C27" s="47"/>
      <c r="D27" s="48"/>
      <c r="E27" s="49"/>
      <c r="F27" s="50"/>
      <c r="G27" s="110"/>
      <c r="H27" s="81">
        <f>VLOOKUP(B27,COTIZADO,8,FALSE)</f>
        <v>0</v>
      </c>
      <c r="I27" s="82">
        <v>0</v>
      </c>
      <c r="J27" s="83">
        <f>F27*H27*(1-I27/100)</f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03">
        <v>18</v>
      </c>
      <c r="C28" s="51"/>
      <c r="D28" s="52"/>
      <c r="E28" s="53"/>
      <c r="F28" s="111"/>
      <c r="G28" s="110"/>
      <c r="H28" s="84">
        <f>VLOOKUP(B28,COTIZADO,8,FALSE)</f>
        <v>0</v>
      </c>
      <c r="I28" s="85">
        <v>0</v>
      </c>
      <c r="J28" s="86">
        <f>F28*H28*(1-I28/100)</f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4" t="s">
        <v>17</v>
      </c>
      <c r="C29" s="55"/>
      <c r="D29" s="38"/>
      <c r="E29" s="38"/>
      <c r="F29" s="56"/>
      <c r="G29" s="57" t="s">
        <v>3</v>
      </c>
      <c r="H29" s="58"/>
      <c r="I29" s="59"/>
      <c r="J29" s="60">
        <f>SUM(J11:J28)</f>
        <v>1155000.0000000002</v>
      </c>
    </row>
    <row r="30" spans="2:10" ht="15">
      <c r="B30" s="61"/>
      <c r="C30" s="63" t="s">
        <v>617</v>
      </c>
      <c r="D30" s="63"/>
      <c r="E30" s="40"/>
      <c r="F30" s="64"/>
      <c r="G30" s="65" t="s">
        <v>13</v>
      </c>
      <c r="H30" s="66"/>
      <c r="I30" s="67"/>
      <c r="J30" s="68">
        <f>J29*I30</f>
        <v>0</v>
      </c>
    </row>
    <row r="31" spans="2:10" ht="15">
      <c r="B31" s="39"/>
      <c r="C31" s="40"/>
      <c r="D31" s="40"/>
      <c r="E31" s="40"/>
      <c r="F31" s="69"/>
      <c r="G31" s="70" t="s">
        <v>4</v>
      </c>
      <c r="H31" s="62"/>
      <c r="I31" s="71"/>
      <c r="J31" s="68">
        <f>J29-J30</f>
        <v>1155000.0000000002</v>
      </c>
    </row>
    <row r="32" spans="2:10" ht="15">
      <c r="B32" s="39"/>
      <c r="C32" s="40"/>
      <c r="D32" s="40"/>
      <c r="E32" s="40"/>
      <c r="F32" s="64"/>
      <c r="G32" s="65">
        <v>0.19</v>
      </c>
      <c r="H32" s="66"/>
      <c r="I32" s="67">
        <v>0.19</v>
      </c>
      <c r="J32" s="68">
        <f>J31*I32</f>
        <v>219450.00000000006</v>
      </c>
    </row>
    <row r="33" spans="2:10" ht="15.75" thickBot="1">
      <c r="B33" s="42"/>
      <c r="C33" s="43"/>
      <c r="D33" s="43"/>
      <c r="E33" s="43"/>
      <c r="F33" s="72"/>
      <c r="G33" s="73" t="s">
        <v>2</v>
      </c>
      <c r="H33" s="74"/>
      <c r="I33" s="75"/>
      <c r="J33" s="76">
        <f>J31+J32</f>
        <v>1374450.0000000002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7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B112" sqref="B112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7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7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7" t="s">
        <v>608</v>
      </c>
    </row>
    <row r="112" spans="1:12" ht="15">
      <c r="A112">
        <v>111</v>
      </c>
      <c r="B112" s="36" t="s">
        <v>611</v>
      </c>
      <c r="C112" t="s">
        <v>610</v>
      </c>
      <c r="D112" t="s">
        <v>612</v>
      </c>
      <c r="E112" t="s">
        <v>614</v>
      </c>
      <c r="I112" t="s">
        <v>613</v>
      </c>
      <c r="L112" s="87" t="s">
        <v>615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  <hyperlink ref="L112" r:id="rId4" display="faranda@aitec.cl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2015-04-17T17:38:52Z</cp:lastPrinted>
  <dcterms:created xsi:type="dcterms:W3CDTF">2013-07-12T05:01:37Z</dcterms:created>
  <dcterms:modified xsi:type="dcterms:W3CDTF">2015-04-17T17:39:03Z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