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o\Google Drive\COTIZACIONES\"/>
    </mc:Choice>
  </mc:AlternateContent>
  <bookViews>
    <workbookView xWindow="240" yWindow="255" windowWidth="1944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O30" i="1" l="1"/>
  <c r="O31" i="1" s="1"/>
  <c r="O26" i="1"/>
  <c r="M23" i="1"/>
  <c r="M30" i="1" s="1"/>
  <c r="M31" i="1" s="1"/>
  <c r="M22" i="1"/>
  <c r="M21" i="1"/>
  <c r="M27" i="1" l="1"/>
  <c r="M28" i="1" s="1"/>
  <c r="O23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<sst xmlns="http://schemas.openxmlformats.org/spreadsheetml/2006/main" count="861" uniqueCount="620">
  <si>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</si>
  <si>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</si>
  <si>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</si>
  <si>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</si>
  <si>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</si>
  <si>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</si>
  <si>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</si>
  <si>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</si>
  <si>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</si>
  <si>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</si>
  <si>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</si>
  <si>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</si>
  <si>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</si>
  <si>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</si>
  <si>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</si>
  <si>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</si>
  <si>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</si>
  <si>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</si>
  <si>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</si>
  <si>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</si>
  <si>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</si>
  <si>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</si>
  <si>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</si>
  <si>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</si>
  <si>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</si>
  <si>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</si>
  <si>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</si>
  <si>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</si>
  <si>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</si>
  <si>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</si>
  <si>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</si>
  <si>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</si>
  <si>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</si>
  <si>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</si>
  <si>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</si>
  <si>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</si>
  <si>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</si>
  <si>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</si>
  <si>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</si>
  <si>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</si>
  <si>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</si>
  <si>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</si>
  <si>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</si>
  <si>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</si>
  <si>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</si>
  <si>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</si>
  <si>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</si>
  <si>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</si>
  <si>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</si>
  <si>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</si>
  <si>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</si>
  <si>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</si>
  <si>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</si>
  <si>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</si>
  <si>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</si>
  <si>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</si>
  <si>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</si>
  <si>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</si>
  <si>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</si>
  <si>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</si>
  <si>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</si>
  <si>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</si>
  <si>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</si>
  <si>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</si>
  <si>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</si>
  <si>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</si>
  <si>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</si>
  <si>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</si>
  <si>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</si>
  <si>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</si>
  <si>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</si>
  <si>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</si>
  <si>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</si>
  <si>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</si>
  <si>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</si>
  <si>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</si>
  <si>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</si>
  <si>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</si>
  <si>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</si>
  <si>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</si>
  <si>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</si>
  <si>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</si>
  <si>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</si>
  <si>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</si>
  <si>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</si>
  <si>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</si>
  <si>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</si>
  <si>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</si>
  <si>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</si>
  <si>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</si>
  <si>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</si>
  <si>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</si>
  <si>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</si>
  <si>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</si>
  <si>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</si>
  <si>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</si>
  <si>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</si>
  <si>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</si>
  <si>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</si>
  <si>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</si>
  <si>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</si>
  <si>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</si>
  <si>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</si>
  <si>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</si>
  <si>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</si>
  <si>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</si>
  <si>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</si>
  <si>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</si>
  <si>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</si>
  <si>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</si>
  <si>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</si>
  <si>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</si>
  <si>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</si>
  <si>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</si>
  <si>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</si>
  <si>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</si>
  <si>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</si>
  <si>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</si>
  <si>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</si>
  <si>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</si>
  <si>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</si>
  <si>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</si>
  <si>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</si>
  <si>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</si>
  <si>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</si>
  <si>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</si>
  <si>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</si>
  <si>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</si>
  <si>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</si>
  <si>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</si>
  <si>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</si>
  <si>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</si>
  <si>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</si>
  <si>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</si>
  <si>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</si>
  <si>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</si>
  <si>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</si>
  <si>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</si>
  <si>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</si>
  <si>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</si>
  <si>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</si>
  <si>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</si>
  <si>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</si>
  <si>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</si>
  <si>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</si>
  <si>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</si>
  <si>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</si>
  <si>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</si>
  <si>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</si>
  <si>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</si>
  <si>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</si>
  <si>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</si>
  <si>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</si>
  <si>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</si>
  <si>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</si>
  <si>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</si>
  <si>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</si>
  <si>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</si>
  <si>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</si>
  <si>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</si>
  <si>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</si>
  <si>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</si>
  <si>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</si>
  <si>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</si>
  <si>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</si>
  <si>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</si>
  <si>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</si>
  <si>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</si>
  <si>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</si>
  <si>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</si>
  <si>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</si>
  <si>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</si>
  <si>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</si>
  <si>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</si>
  <si>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</si>
  <si>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</si>
  <si>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</si>
  <si>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</si>
  <si>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</si>
  <si>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</si>
  <si>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</si>
  <si>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</si>
  <si>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</si>
  <si>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</si>
  <si>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</si>
  <si>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</si>
  <si>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</si>
  <si>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</si>
  <si>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</si>
  <si>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</si>
  <si>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</si>
  <si>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</si>
  <si>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</si>
  <si>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</si>
  <si>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</si>
  <si>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</si>
  <si>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</si>
  <si>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</si>
  <si>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</si>
  <si>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</si>
  <si>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</si>
  <si>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</si>
  <si>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</si>
  <si>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</si>
  <si>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</si>
  <si>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</si>
  <si>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</si>
  <si>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</si>
  <si>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</si>
  <si>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</si>
  <si>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</si>
  <si>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</si>
  <si>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</si>
  <si>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</si>
  <si>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</si>
  <si>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</si>
  <si>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</si>
  <si>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</si>
  <si>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</si>
  <si>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</si>
  <si>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</si>
  <si>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</si>
  <si>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</si>
  <si>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</si>
  <si>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</si>
  <si>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</si>
  <si>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</si>
  <si>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</si>
  <si>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</si>
  <si>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</si>
  <si>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</si>
  <si>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</si>
  <si>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</si>
  <si>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</si>
  <si>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</si>
  <si>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</si>
  <si>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</si>
  <si>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</si>
  <si>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</si>
  <si>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</si>
  <si>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</si>
  <si>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</si>
  <si>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</si>
  <si>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</si>
  <si>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</si>
  <si>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</si>
  <si>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</si>
  <si>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</si>
  <si>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</si>
  <si>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</si>
  <si>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</si>
  <si>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</si>
  <si>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</si>
  <si>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</si>
  <si>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</si>
  <si>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</si>
  <si>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</si>
  <si>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</si>
  <si>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</si>
  <si>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</si>
  <si>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</si>
  <si>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</si>
  <si>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</si>
  <si>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</si>
  <si>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</si>
  <si>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</si>
  <si>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</si>
  <si>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</si>
  <si>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</si>
  <si>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</si>
  <si>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</si>
  <si>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</si>
  <si>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</si>
  <si>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</si>
  <si>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</si>
  <si>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</si>
  <si>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</si>
  <si>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</si>
  <si>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</si>
  <si>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</si>
  <si>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</si>
  <si>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</si>
  <si>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</si>
  <si>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</si>
  <si>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</si>
  <si>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</si>
  <si>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</si>
  <si>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</si>
  <si>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</si>
  <si>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</si>
  <si>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</si>
  <si>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</si>
  <si>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</si>
  <si>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</si>
  <si>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</si>
  <si>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</si>
  <si>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</si>
  <si>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</si>
  <si>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</si>
  <si>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</si>
  <si>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</si>
  <si>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</si>
  <si>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</si>
  <si>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</si>
  <si>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</si>
  <si>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</si>
  <si>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</si>
  <si>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</si>
  <si>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</si>
  <si>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</si>
  <si>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</si>
  <si>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</si>
  <si>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</si>
  <si>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</si>
  <si>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</si>
  <si>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</si>
  <si>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</si>
  <si>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</si>
  <si>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</si>
  <si>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</si>
  <si>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</si>
  <si>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</si>
  <si>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</si>
  <si>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</si>
  <si>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</si>
  <si>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</si>
  <si>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</si>
  <si>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</si>
  <si>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</si>
  <si>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</si>
  <si>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</si>
  <si>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</si>
  <si>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</si>
  <si>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</si>
  <si>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</si>
  <si>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</si>
  <si>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</si>
  <si>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</si>
  <si>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</si>
  <si>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</si>
  <si>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</si>
  <si>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</si>
  <si>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</si>
  <si>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</si>
  <si>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</si>
  <si>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</si>
  <si>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</si>
  <si>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</si>
  <si>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</si>
  <si>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</si>
  <si>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</si>
  <si>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</si>
  <si>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</si>
  <si>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</si>
  <si>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</si>
  <si>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</si>
  <si>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</si>
  <si>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</si>
  <si>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</si>
  <si>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</si>
  <si>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</si>
  <si>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</si>
  <si>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</si>
  <si>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</si>
  <si>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</si>
  <si>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</si>
  <si>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</si>
  <si>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</si>
  <si>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</si>
  <si>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</si>
  <si>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</si>
  <si>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</si>
  <si>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</si>
  <si>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</si>
  <si>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</si>
  <si>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</si>
  <si>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</si>
  <si>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</si>
  <si>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</si>
  <si>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</si>
  <si>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</si>
  <si>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</si>
  <si>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</si>
  <si>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</si>
  <si>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</si>
  <si>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</si>
  <si>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</si>
  <si>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</si>
  <si>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</si>
  <si>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</si>
  <si>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</si>
  <si>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</si>
  <si>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</si>
  <si>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</si>
  <si>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</si>
  <si>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</si>
  <si>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</si>
  <si>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</si>
  <si>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</si>
  <si>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</si>
  <si>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</si>
  <si>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</si>
  <si>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</si>
  <si>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</si>
  <si>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</si>
  <si>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</si>
  <si>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</si>
  <si>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</si>
  <si>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</si>
  <si>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</si>
  <si>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</si>
  <si>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</si>
  <si>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</si>
  <si>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</si>
  <si>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</si>
  <si>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</si>
  <si>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</si>
  <si>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</si>
  <si>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</si>
  <si>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</si>
  <si>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</si>
  <si>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</si>
  <si>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</si>
  <si>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</si>
  <si>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</si>
  <si>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</si>
  <si>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</si>
  <si>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</si>
  <si>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</si>
  <si>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</si>
  <si>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</si>
  <si>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</si>
  <si>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</si>
  <si>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</si>
  <si>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</si>
  <si>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</si>
  <si>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</si>
  <si>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</si>
  <si>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</si>
  <si>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</si>
  <si>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</si>
  <si>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</si>
  <si>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</si>
  <si>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</si>
  <si>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</si>
  <si>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</si>
  <si>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</si>
  <si>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</si>
  <si>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</si>
  <si>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</si>
  <si>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</si>
  <si>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</si>
  <si>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</si>
  <si>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</si>
  <si>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</si>
  <si>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</si>
  <si>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</si>
  <si>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</si>
  <si>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</si>
  <si>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</si>
  <si>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</si>
  <si>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</si>
  <si>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</si>
  <si>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</si>
  <si>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</si>
  <si>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</si>
  <si>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</si>
  <si>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</si>
  <si>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</si>
  <si>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</si>
  <si>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</si>
  <si>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</si>
  <si>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</si>
  <si>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</si>
  <si>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</si>
  <si>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</si>
  <si>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</si>
  <si>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</si>
  <si>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</si>
  <si>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</si>
  <si>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</si>
  <si>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</si>
  <si>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</si>
  <si>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</si>
  <si>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</si>
  <si>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</si>
  <si>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</si>
  <si>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</si>
  <si>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</si>
  <si>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</si>
  <si>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</si>
  <si>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</si>
  <si>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</si>
  <si>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</si>
  <si>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</si>
  <si>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</si>
  <si>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</si>
  <si>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</si>
  <si>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</si>
  <si>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</si>
  <si>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</si>
  <si>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</si>
  <si>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</si>
  <si>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</si>
  <si>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</si>
  <si>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</si>
  <si>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</si>
  <si>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</si>
  <si>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</si>
  <si>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</si>
  <si>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</si>
  <si>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</si>
  <si>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</si>
  <si>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</si>
  <si>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</si>
  <si>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</si>
  <si>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</si>
  <si>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</si>
  <si>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</si>
  <si>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</si>
  <si>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</si>
  <si>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</si>
  <si>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</si>
  <si>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</si>
  <si>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</si>
  <si>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</si>
  <si>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</si>
  <si>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</si>
  <si>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</si>
  <si>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</si>
  <si>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</si>
  <si>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</si>
  <si>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</si>
  <si>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</si>
  <si>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</si>
  <si>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</si>
  <si>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</si>
  <si>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</si>
  <si>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</si>
  <si>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</si>
  <si>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</si>
  <si>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</si>
  <si>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</si>
  <si>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</si>
  <si>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</si>
  <si>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</si>
  <si>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</si>
  <si>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</si>
  <si>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</si>
  <si>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</si>
  <si>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</si>
  <si>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</si>
  <si>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</si>
  <si>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</si>
  <si>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</si>
  <si>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</si>
  <si>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</si>
  <si>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</si>
  <si>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</si>
  <si>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</si>
  <si>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</si>
  <si>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</si>
  <si>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</si>
  <si>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</si>
  <si>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</si>
  <si>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</si>
  <si>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</si>
  <si>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</si>
  <si>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</si>
  <si>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</si>
  <si>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</si>
  <si>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</si>
  <si>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</si>
  <si>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</si>
  <si>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B.BOSCH S.A</t>
  </si>
  <si>
    <t>Cañaveral 700</t>
  </si>
  <si>
    <t>Elias Quinteros</t>
  </si>
  <si>
    <t>equinteros@bbosch.cl</t>
  </si>
  <si>
    <t>ernesto</t>
  </si>
  <si>
    <t>76.373.180-4</t>
  </si>
  <si>
    <t>GALVANIZADORA</t>
  </si>
  <si>
    <t>CTI</t>
  </si>
  <si>
    <t>Alberto Llona 777</t>
  </si>
  <si>
    <t>Nicolas Sotelo</t>
  </si>
  <si>
    <t>76.163.495-k</t>
  </si>
  <si>
    <t>PRODUCTOS DE METAL</t>
  </si>
  <si>
    <t>TECNOCOMPOSITES</t>
  </si>
  <si>
    <t>EL JUNCAL 090-C</t>
  </si>
  <si>
    <t>Carlos Calderon</t>
  </si>
  <si>
    <t>ccalderon@tecnocomposites.cl</t>
  </si>
  <si>
    <t>Ernesto Fuentes</t>
  </si>
  <si>
    <t>Danus</t>
  </si>
  <si>
    <t>Hifima</t>
  </si>
  <si>
    <t>f.sanjose@hifima.cl</t>
  </si>
  <si>
    <t>Valvula Tres vias 1/2" BSP (avion)</t>
  </si>
  <si>
    <t>Valvula Tres vias 1/2" BSP (barco)</t>
  </si>
  <si>
    <t>BEST-ENERGY</t>
  </si>
  <si>
    <t>Luisa Gonzalez</t>
  </si>
  <si>
    <t>Tiempo Estimado Avion 20 dias</t>
  </si>
  <si>
    <t>Tiempo Estimado Barco 3 meses</t>
  </si>
  <si>
    <t>costo</t>
  </si>
  <si>
    <t>T/C</t>
  </si>
  <si>
    <t>us/u</t>
  </si>
  <si>
    <t>peso</t>
  </si>
  <si>
    <t>gr</t>
  </si>
  <si>
    <t>unit</t>
  </si>
  <si>
    <t>flete</t>
  </si>
  <si>
    <t>kg</t>
  </si>
  <si>
    <t>valor FOB</t>
  </si>
  <si>
    <t>USD</t>
  </si>
  <si>
    <t>ADUA</t>
  </si>
  <si>
    <t>TRANS, ALM , DESCON</t>
  </si>
  <si>
    <t>UDS</t>
  </si>
  <si>
    <t>COSTO CIF</t>
  </si>
  <si>
    <t>MARGEN</t>
  </si>
  <si>
    <t>P venta</t>
  </si>
  <si>
    <t>usd</t>
  </si>
  <si>
    <t>$/un</t>
  </si>
  <si>
    <t>Pagp: 50% para accionar el producto</t>
  </si>
  <si>
    <t>50 % una ves entregado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</si>
</sst>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3" fontId="11" fillId="2" borderId="18" xfId="0" applyNumberFormat="1" applyFont="1" applyFill="1" applyBorder="1" applyAlignment="1" applyProtection="1">
      <alignment horizontal="center"/>
    </xf>
    <xf numFmtId="1" fontId="11" fillId="2" borderId="18" xfId="0" applyNumberFormat="1" applyFont="1" applyFill="1" applyBorder="1" applyAlignment="1" applyProtection="1">
      <alignment horizontal="center"/>
      <protection locked="0"/>
    </xf>
    <xf numFmtId="3" fontId="11" fillId="2" borderId="2" xfId="0" applyNumberFormat="1" applyFont="1" applyFill="1" applyBorder="1" applyAlignment="1" applyProtection="1">
      <alignment horizontal="center"/>
    </xf>
    <xf numFmtId="3" fontId="11" fillId="2" borderId="19" xfId="0" applyNumberFormat="1" applyFont="1" applyFill="1" applyBorder="1" applyAlignment="1" applyProtection="1">
      <alignment horizontal="center"/>
    </xf>
    <xf numFmtId="1" fontId="11" fillId="2" borderId="19" xfId="0" applyNumberFormat="1" applyFont="1" applyFill="1" applyBorder="1" applyAlignment="1" applyProtection="1">
      <alignment horizontal="center"/>
      <protection locked="0"/>
    </xf>
    <xf numFmtId="3" fontId="11" fillId="2" borderId="14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2" borderId="3" xfId="0" applyFont="1" applyFill="1" applyBorder="1" applyAlignment="1" applyProtection="1"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left"/>
    </xf>
    <xf numFmtId="0" fontId="12" fillId="2" borderId="5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13" fillId="2" borderId="2" xfId="1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12" fillId="2" borderId="13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2" borderId="17" xfId="0" applyNumberFormat="1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3" fontId="12" fillId="2" borderId="17" xfId="0" applyNumberFormat="1" applyFont="1" applyFill="1" applyBorder="1" applyAlignment="1" applyProtection="1">
      <alignment horizontal="center"/>
    </xf>
    <xf numFmtId="1" fontId="12" fillId="2" borderId="17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Alignment="1" applyProtection="1">
      <alignment horizontal="center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3" fontId="12" fillId="2" borderId="18" xfId="0" applyNumberFormat="1" applyFont="1" applyFill="1" applyBorder="1" applyAlignment="1" applyProtection="1">
      <alignment horizontal="center"/>
    </xf>
    <xf numFmtId="1" fontId="12" fillId="2" borderId="18" xfId="0" applyNumberFormat="1" applyFont="1" applyFill="1" applyBorder="1" applyAlignment="1" applyProtection="1">
      <alignment horizontal="center"/>
      <protection locked="0"/>
    </xf>
    <xf numFmtId="3" fontId="12" fillId="2" borderId="2" xfId="0" applyNumberFormat="1" applyFont="1" applyFill="1" applyBorder="1" applyAlignment="1" applyProtection="1">
      <alignment horizontal="center"/>
    </xf>
    <xf numFmtId="0" fontId="12" fillId="2" borderId="18" xfId="0" applyFont="1" applyFill="1" applyBorder="1" applyProtection="1">
      <protection locked="0"/>
    </xf>
    <xf numFmtId="0" fontId="0" fillId="3" borderId="0" xfId="0" applyFill="1" applyProtection="1">
      <protection locked="0"/>
    </xf>
    <xf numFmtId="166" fontId="7" fillId="0" borderId="0" xfId="0" applyNumberFormat="1" applyFont="1" applyProtection="1"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protection locked="0"/>
    </xf>
    <xf numFmtId="0" fontId="12" fillId="0" borderId="25" xfId="0" applyFont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protection locked="0"/>
    </xf>
    <xf numFmtId="0" fontId="12" fillId="0" borderId="1" xfId="0" applyFont="1" applyBorder="1" applyAlignment="1" applyProtection="1"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/>
    </xf>
    <xf numFmtId="0" fontId="0" fillId="2" borderId="0" xfId="0" applyFill="1" applyProtection="1">
      <protection locked="0"/>
    </xf>
    <xf numFmtId="1" fontId="0" fillId="2" borderId="0" xfId="0" applyNumberFormat="1" applyFill="1" applyProtection="1"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5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calderon@tecnocomposites.cl" TargetMode="External"/><Relationship Id="rId1" Type="http://schemas.openxmlformats.org/officeDocument/2006/relationships/hyperlink" Target="mailto:equinteros@bbosch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3">
        <v>2517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82" t="s">
        <v>6</v>
      </c>
      <c r="C4" s="83"/>
      <c r="D4" s="84">
        <v>2</v>
      </c>
      <c r="E4" s="83" t="s">
        <v>12</v>
      </c>
      <c r="F4" s="85"/>
      <c r="G4" s="85"/>
      <c r="H4" s="86"/>
      <c r="I4" s="83" t="s">
        <v>9</v>
      </c>
      <c r="J4" s="87">
        <f>VLOOKUP(D4,CLIENTES,10,FALSE)</f>
        <v>0</v>
      </c>
      <c r="K4" s="20"/>
    </row>
    <row r="5" spans="2:18" x14ac:dyDescent="0.25">
      <c r="B5" s="88"/>
      <c r="C5" s="89"/>
      <c r="D5" s="90"/>
      <c r="E5" s="129">
        <f>VLOOKUP(D4,CLIENTES,4,FALSE)</f>
        <v>0</v>
      </c>
      <c r="F5" s="129"/>
      <c r="G5" s="129"/>
      <c r="H5" s="129"/>
      <c r="I5" s="129"/>
      <c r="J5" s="130"/>
      <c r="K5" s="20"/>
    </row>
    <row r="6" spans="2:18" ht="17.25" customHeight="1" x14ac:dyDescent="0.25">
      <c r="B6" s="88" t="s">
        <v>27</v>
      </c>
      <c r="C6" s="89"/>
      <c r="D6" s="91" t="str">
        <f>VLOOKUP(D4,CLIENTES,2,FALSE)</f>
        <v>BEST-ENERGY</v>
      </c>
      <c r="E6" s="89" t="s">
        <v>7</v>
      </c>
      <c r="F6" s="129">
        <f>VLOOKUP(D4,CLIENTES,5,FALSE)</f>
        <v>0</v>
      </c>
      <c r="G6" s="129"/>
      <c r="H6" s="129"/>
      <c r="I6" s="92">
        <f>VLOOKUP(D4,CLIENTES,11,FALSE)</f>
        <v>0</v>
      </c>
      <c r="J6" s="93"/>
    </row>
    <row r="7" spans="2:18" x14ac:dyDescent="0.25">
      <c r="B7" s="88" t="s">
        <v>25</v>
      </c>
      <c r="C7" s="89"/>
      <c r="D7" s="91">
        <f>VLOOKUP(D4,CLIENTES,3,FALSE)</f>
        <v>0</v>
      </c>
      <c r="E7" s="89" t="s">
        <v>8</v>
      </c>
      <c r="F7" s="129" t="str">
        <f>VLOOKUP(D4,CLIENTES,6,FALSE)</f>
        <v>STGO</v>
      </c>
      <c r="G7" s="129"/>
      <c r="H7" s="129"/>
      <c r="I7" s="89" t="s">
        <v>26</v>
      </c>
      <c r="J7" s="94" t="str">
        <f>VLOOKUP(D4,CLIENTES,8,FALSE)</f>
        <v>Luisa Gonzalez</v>
      </c>
    </row>
    <row r="8" spans="2:18" ht="15.75" thickBot="1" x14ac:dyDescent="0.3">
      <c r="B8" s="127" t="s">
        <v>28</v>
      </c>
      <c r="C8" s="128"/>
      <c r="D8" s="91">
        <f>VLOOKUP(D4,CLIENTES,7,FALSE)</f>
        <v>0</v>
      </c>
      <c r="E8" s="89" t="s">
        <v>11</v>
      </c>
      <c r="F8" s="129" t="str">
        <f>VLOOKUP(D4,CLIENTES,12,FALSE)</f>
        <v>Ernesto Fuentes</v>
      </c>
      <c r="G8" s="129"/>
      <c r="H8" s="129"/>
      <c r="I8" s="89" t="s">
        <v>14</v>
      </c>
      <c r="J8" s="95">
        <f ca="1">TODAY()</f>
        <v>42110</v>
      </c>
      <c r="K8" s="20"/>
      <c r="L8" s="20"/>
    </row>
    <row r="9" spans="2:18" ht="16.5" thickTop="1" thickBot="1" x14ac:dyDescent="0.3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N9" s="8" t="s">
        <v>593</v>
      </c>
      <c r="P9" s="21"/>
      <c r="Q9" s="22" t="s">
        <v>21</v>
      </c>
      <c r="R9" s="23" t="s">
        <v>22</v>
      </c>
    </row>
    <row r="10" spans="2:18" ht="15.75" thickBot="1" x14ac:dyDescent="0.3">
      <c r="B10" s="100" t="s">
        <v>1</v>
      </c>
      <c r="C10" s="121" t="s">
        <v>24</v>
      </c>
      <c r="D10" s="122"/>
      <c r="E10" s="123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 t="s">
        <v>591</v>
      </c>
      <c r="M10" s="25">
        <v>300</v>
      </c>
      <c r="N10" s="25" t="s">
        <v>592</v>
      </c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105">
        <v>1</v>
      </c>
      <c r="C11" s="124" t="s">
        <v>594</v>
      </c>
      <c r="D11" s="125"/>
      <c r="E11" s="126"/>
      <c r="F11" s="106">
        <v>350</v>
      </c>
      <c r="G11" s="106" t="s">
        <v>23</v>
      </c>
      <c r="H11" s="107">
        <f>VLOOKUP(B11,COTIZADO,8,FALSE)</f>
        <v>6175</v>
      </c>
      <c r="I11" s="108">
        <v>0</v>
      </c>
      <c r="J11" s="109">
        <f t="shared" ref="J11:J28" si="0">F11*H11*(1-I11/100)</f>
        <v>2161250</v>
      </c>
      <c r="K11" s="28">
        <v>1</v>
      </c>
      <c r="L11" s="29"/>
      <c r="M11" s="29"/>
      <c r="N11" s="29"/>
      <c r="O11" s="29"/>
      <c r="P11" s="30">
        <v>1</v>
      </c>
      <c r="Q11" s="31">
        <v>6175</v>
      </c>
      <c r="R11" s="35">
        <f>Q11*P11</f>
        <v>6175</v>
      </c>
    </row>
    <row r="12" spans="2:18" x14ac:dyDescent="0.25">
      <c r="B12" s="110">
        <v>2</v>
      </c>
      <c r="C12" s="111" t="s">
        <v>595</v>
      </c>
      <c r="D12" s="112"/>
      <c r="E12" s="113"/>
      <c r="F12" s="114">
        <v>220</v>
      </c>
      <c r="G12" s="114" t="s">
        <v>23</v>
      </c>
      <c r="H12" s="115">
        <f t="shared" ref="H12:H28" si="1">VLOOKUP(B12,COTIZADO,8,FALSE)</f>
        <v>5300</v>
      </c>
      <c r="I12" s="116">
        <v>0</v>
      </c>
      <c r="J12" s="117">
        <f t="shared" si="0"/>
        <v>1166000</v>
      </c>
      <c r="K12" s="28">
        <v>2</v>
      </c>
      <c r="L12" s="29"/>
      <c r="M12" s="29"/>
      <c r="N12" s="29"/>
      <c r="O12" s="29"/>
      <c r="P12" s="30">
        <v>1</v>
      </c>
      <c r="Q12" s="31">
        <v>5300</v>
      </c>
      <c r="R12" s="35">
        <f t="shared" ref="R12:R28" si="2">Q12*P12</f>
        <v>5300</v>
      </c>
    </row>
    <row r="13" spans="2:18" x14ac:dyDescent="0.25">
      <c r="B13" s="81">
        <v>3</v>
      </c>
      <c r="C13" s="111"/>
      <c r="D13" s="112"/>
      <c r="E13" s="113"/>
      <c r="F13" s="114"/>
      <c r="G13" s="118"/>
      <c r="H13" s="75">
        <f t="shared" si="1"/>
        <v>0</v>
      </c>
      <c r="I13" s="76">
        <v>0</v>
      </c>
      <c r="J13" s="77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81">
        <v>4</v>
      </c>
      <c r="C14" s="111"/>
      <c r="D14" s="112"/>
      <c r="E14" s="113"/>
      <c r="F14" s="114"/>
      <c r="G14" s="118"/>
      <c r="H14" s="75">
        <f t="shared" si="1"/>
        <v>0</v>
      </c>
      <c r="I14" s="76">
        <v>0</v>
      </c>
      <c r="J14" s="7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81">
        <v>5</v>
      </c>
      <c r="C15" s="111"/>
      <c r="D15" s="112"/>
      <c r="E15" s="113"/>
      <c r="F15" s="114"/>
      <c r="G15" s="118"/>
      <c r="H15" s="75">
        <f t="shared" si="1"/>
        <v>0</v>
      </c>
      <c r="I15" s="76">
        <v>0</v>
      </c>
      <c r="J15" s="77">
        <f t="shared" si="0"/>
        <v>0</v>
      </c>
      <c r="K15" s="28">
        <v>5</v>
      </c>
      <c r="L15" s="29" t="s">
        <v>601</v>
      </c>
      <c r="M15" s="29">
        <v>650</v>
      </c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81">
        <v>6</v>
      </c>
      <c r="C16" s="111"/>
      <c r="D16" s="112"/>
      <c r="E16" s="113"/>
      <c r="F16" s="114"/>
      <c r="G16" s="118"/>
      <c r="H16" s="75">
        <f t="shared" si="1"/>
        <v>0</v>
      </c>
      <c r="I16" s="76">
        <v>0</v>
      </c>
      <c r="J16" s="77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81">
        <v>7</v>
      </c>
      <c r="C17" s="111"/>
      <c r="D17" s="112"/>
      <c r="E17" s="113"/>
      <c r="F17" s="114"/>
      <c r="G17" s="118"/>
      <c r="H17" s="75">
        <f t="shared" si="1"/>
        <v>0</v>
      </c>
      <c r="I17" s="76">
        <v>0</v>
      </c>
      <c r="J17" s="77">
        <f t="shared" si="0"/>
        <v>0</v>
      </c>
      <c r="K17" s="28">
        <v>7</v>
      </c>
      <c r="L17" s="29" t="s">
        <v>600</v>
      </c>
      <c r="M17" s="29">
        <v>3</v>
      </c>
      <c r="N17" s="29" t="s">
        <v>602</v>
      </c>
      <c r="O17" s="29"/>
      <c r="P17" s="30">
        <v>1.5</v>
      </c>
      <c r="Q17" s="31"/>
      <c r="R17" s="35">
        <f t="shared" si="2"/>
        <v>0</v>
      </c>
    </row>
    <row r="18" spans="2:18" x14ac:dyDescent="0.25">
      <c r="B18" s="81">
        <v>8</v>
      </c>
      <c r="C18" s="111"/>
      <c r="D18" s="112"/>
      <c r="E18" s="113"/>
      <c r="F18" s="114"/>
      <c r="G18" s="118"/>
      <c r="H18" s="75">
        <f t="shared" si="1"/>
        <v>0</v>
      </c>
      <c r="I18" s="76">
        <v>0</v>
      </c>
      <c r="J18" s="77">
        <f t="shared" si="0"/>
        <v>0</v>
      </c>
      <c r="K18" s="28">
        <v>8</v>
      </c>
      <c r="L18" s="29" t="s">
        <v>603</v>
      </c>
      <c r="M18" s="29">
        <v>330</v>
      </c>
      <c r="N18" s="29" t="s">
        <v>604</v>
      </c>
      <c r="O18" s="29"/>
      <c r="P18" s="30">
        <v>1.5</v>
      </c>
      <c r="Q18" s="31"/>
      <c r="R18" s="35">
        <f t="shared" si="2"/>
        <v>0</v>
      </c>
    </row>
    <row r="19" spans="2:18" x14ac:dyDescent="0.25">
      <c r="B19" s="81">
        <v>9</v>
      </c>
      <c r="C19" s="111"/>
      <c r="D19" s="112"/>
      <c r="E19" s="113"/>
      <c r="F19" s="114"/>
      <c r="G19" s="118"/>
      <c r="H19" s="75">
        <f t="shared" si="1"/>
        <v>0</v>
      </c>
      <c r="I19" s="76">
        <v>0</v>
      </c>
      <c r="J19" s="77">
        <f t="shared" si="0"/>
        <v>0</v>
      </c>
      <c r="K19" s="28">
        <v>9</v>
      </c>
      <c r="L19" s="29" t="s">
        <v>0</v>
      </c>
      <c r="M19" s="29">
        <v>350</v>
      </c>
      <c r="N19" s="29" t="s">
        <v>605</v>
      </c>
      <c r="O19" s="29"/>
      <c r="P19" s="30">
        <v>1.5</v>
      </c>
      <c r="Q19" s="31"/>
      <c r="R19" s="35">
        <f t="shared" si="2"/>
        <v>0</v>
      </c>
    </row>
    <row r="20" spans="2:18" x14ac:dyDescent="0.25">
      <c r="B20" s="81">
        <v>10</v>
      </c>
      <c r="C20" s="111"/>
      <c r="D20" s="112"/>
      <c r="E20" s="113"/>
      <c r="F20" s="114"/>
      <c r="G20" s="118"/>
      <c r="H20" s="75">
        <f t="shared" si="1"/>
        <v>0</v>
      </c>
      <c r="I20" s="76">
        <v>0</v>
      </c>
      <c r="J20" s="77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81">
        <v>11</v>
      </c>
      <c r="C21" s="42"/>
      <c r="D21" s="43"/>
      <c r="E21" s="44"/>
      <c r="F21" s="45"/>
      <c r="G21" s="46"/>
      <c r="H21" s="75">
        <f t="shared" si="1"/>
        <v>0</v>
      </c>
      <c r="I21" s="76">
        <v>0</v>
      </c>
      <c r="J21" s="77">
        <f t="shared" si="0"/>
        <v>0</v>
      </c>
      <c r="K21" s="28">
        <v>11</v>
      </c>
      <c r="L21" s="29" t="s">
        <v>606</v>
      </c>
      <c r="M21" s="29">
        <f>350*330</f>
        <v>115500</v>
      </c>
      <c r="N21" s="29" t="s">
        <v>604</v>
      </c>
      <c r="O21" s="29"/>
      <c r="P21" s="30">
        <v>1.5</v>
      </c>
      <c r="Q21" s="31"/>
      <c r="R21" s="35">
        <f t="shared" si="2"/>
        <v>0</v>
      </c>
    </row>
    <row r="22" spans="2:18" x14ac:dyDescent="0.25">
      <c r="B22" s="81">
        <v>12</v>
      </c>
      <c r="C22" s="42"/>
      <c r="D22" s="43"/>
      <c r="E22" s="44"/>
      <c r="F22" s="45"/>
      <c r="G22" s="46"/>
      <c r="H22" s="75">
        <f t="shared" si="1"/>
        <v>0</v>
      </c>
      <c r="I22" s="76">
        <v>0</v>
      </c>
      <c r="J22" s="77">
        <f t="shared" si="0"/>
        <v>0</v>
      </c>
      <c r="K22" s="28">
        <v>12</v>
      </c>
      <c r="L22" s="29"/>
      <c r="M22" s="29">
        <f>+M21/1000</f>
        <v>115.5</v>
      </c>
      <c r="N22" s="29" t="s">
        <v>607</v>
      </c>
      <c r="O22" s="29"/>
      <c r="P22" s="30">
        <v>1.5</v>
      </c>
      <c r="Q22" s="31"/>
      <c r="R22" s="35">
        <f t="shared" si="2"/>
        <v>0</v>
      </c>
    </row>
    <row r="23" spans="2:18" x14ac:dyDescent="0.25">
      <c r="B23" s="81">
        <v>13</v>
      </c>
      <c r="C23" s="42"/>
      <c r="D23" s="43"/>
      <c r="E23" s="44"/>
      <c r="F23" s="45"/>
      <c r="G23" s="46"/>
      <c r="H23" s="75">
        <f t="shared" si="1"/>
        <v>0</v>
      </c>
      <c r="I23" s="76">
        <v>0</v>
      </c>
      <c r="J23" s="77">
        <f t="shared" si="0"/>
        <v>0</v>
      </c>
      <c r="K23" s="28">
        <v>13</v>
      </c>
      <c r="L23" s="29" t="s">
        <v>608</v>
      </c>
      <c r="M23" s="29">
        <f>+M19*M17</f>
        <v>1050</v>
      </c>
      <c r="N23" s="29" t="s">
        <v>609</v>
      </c>
      <c r="O23" s="29">
        <f>+M23</f>
        <v>1050</v>
      </c>
      <c r="P23" s="30">
        <v>1.5</v>
      </c>
      <c r="Q23" s="31"/>
      <c r="R23" s="35">
        <f t="shared" si="2"/>
        <v>0</v>
      </c>
    </row>
    <row r="24" spans="2:18" x14ac:dyDescent="0.25">
      <c r="B24" s="81">
        <v>14</v>
      </c>
      <c r="C24" s="42"/>
      <c r="D24" s="43"/>
      <c r="E24" s="44"/>
      <c r="F24" s="45"/>
      <c r="G24" s="46"/>
      <c r="H24" s="75">
        <f t="shared" si="1"/>
        <v>0</v>
      </c>
      <c r="I24" s="76">
        <v>0</v>
      </c>
      <c r="J24" s="77">
        <f t="shared" si="0"/>
        <v>0</v>
      </c>
      <c r="K24" s="28">
        <v>14</v>
      </c>
      <c r="L24" s="29" t="s">
        <v>606</v>
      </c>
      <c r="M24" s="29">
        <v>1100</v>
      </c>
      <c r="N24" s="29" t="s">
        <v>609</v>
      </c>
      <c r="O24" s="29">
        <v>300</v>
      </c>
      <c r="P24" s="30">
        <v>1.5</v>
      </c>
      <c r="Q24" s="31"/>
      <c r="R24" s="35">
        <f t="shared" si="2"/>
        <v>0</v>
      </c>
    </row>
    <row r="25" spans="2:18" x14ac:dyDescent="0.25">
      <c r="B25" s="81">
        <v>15</v>
      </c>
      <c r="C25" s="42"/>
      <c r="D25" s="43"/>
      <c r="E25" s="44"/>
      <c r="F25" s="45"/>
      <c r="G25" s="46"/>
      <c r="H25" s="75">
        <f t="shared" si="1"/>
        <v>0</v>
      </c>
      <c r="I25" s="76">
        <v>0</v>
      </c>
      <c r="J25" s="77">
        <f t="shared" si="0"/>
        <v>0</v>
      </c>
      <c r="K25" s="28">
        <v>15</v>
      </c>
      <c r="L25" s="29" t="s">
        <v>610</v>
      </c>
      <c r="M25" s="29">
        <v>250</v>
      </c>
      <c r="N25" s="29" t="s">
        <v>612</v>
      </c>
      <c r="O25" s="29">
        <v>250</v>
      </c>
      <c r="P25" s="30">
        <v>1.5</v>
      </c>
      <c r="Q25" s="31"/>
      <c r="R25" s="35">
        <f t="shared" si="2"/>
        <v>0</v>
      </c>
    </row>
    <row r="26" spans="2:18" x14ac:dyDescent="0.25">
      <c r="B26" s="81">
        <v>16</v>
      </c>
      <c r="C26" s="42"/>
      <c r="D26" s="43"/>
      <c r="E26" s="44"/>
      <c r="F26" s="45"/>
      <c r="G26" s="46"/>
      <c r="H26" s="75">
        <f t="shared" si="1"/>
        <v>0</v>
      </c>
      <c r="I26" s="76">
        <v>0</v>
      </c>
      <c r="J26" s="77">
        <f t="shared" si="0"/>
        <v>0</v>
      </c>
      <c r="K26" s="28">
        <v>16</v>
      </c>
      <c r="L26" s="29" t="s">
        <v>611</v>
      </c>
      <c r="M26" s="29">
        <v>400</v>
      </c>
      <c r="N26" s="29" t="s">
        <v>609</v>
      </c>
      <c r="O26" s="29">
        <f>+M26</f>
        <v>400</v>
      </c>
      <c r="P26" s="30">
        <v>1.5</v>
      </c>
      <c r="Q26" s="31"/>
      <c r="R26" s="35">
        <f t="shared" si="2"/>
        <v>0</v>
      </c>
    </row>
    <row r="27" spans="2:18" x14ac:dyDescent="0.25">
      <c r="B27" s="81">
        <v>17</v>
      </c>
      <c r="C27" s="42"/>
      <c r="D27" s="43"/>
      <c r="E27" s="44"/>
      <c r="F27" s="45"/>
      <c r="G27" s="46"/>
      <c r="H27" s="75">
        <f t="shared" si="1"/>
        <v>0</v>
      </c>
      <c r="I27" s="76">
        <v>0</v>
      </c>
      <c r="J27" s="77">
        <f t="shared" si="0"/>
        <v>0</v>
      </c>
      <c r="K27" s="28">
        <v>17</v>
      </c>
      <c r="L27" s="29"/>
      <c r="M27" s="29">
        <f>+SUM(M23:M26)</f>
        <v>2800</v>
      </c>
      <c r="N27" s="29" t="s">
        <v>609</v>
      </c>
      <c r="O27" s="120"/>
      <c r="P27" s="30">
        <v>1.5</v>
      </c>
      <c r="Q27" s="31"/>
      <c r="R27" s="35">
        <f t="shared" si="2"/>
        <v>0</v>
      </c>
    </row>
    <row r="28" spans="2:18" ht="15.75" thickBot="1" x14ac:dyDescent="0.3">
      <c r="B28" s="81">
        <v>18</v>
      </c>
      <c r="C28" s="47"/>
      <c r="D28" s="48"/>
      <c r="E28" s="49"/>
      <c r="F28" s="45"/>
      <c r="G28" s="46"/>
      <c r="H28" s="78">
        <f t="shared" si="1"/>
        <v>0</v>
      </c>
      <c r="I28" s="79">
        <v>0</v>
      </c>
      <c r="J28" s="80">
        <f t="shared" si="0"/>
        <v>0</v>
      </c>
      <c r="K28" s="28">
        <v>18</v>
      </c>
      <c r="L28" s="29" t="s">
        <v>613</v>
      </c>
      <c r="M28" s="29">
        <f>+M27/M19</f>
        <v>8</v>
      </c>
      <c r="N28" s="29" t="s">
        <v>609</v>
      </c>
      <c r="O28" s="29"/>
      <c r="P28" s="32">
        <v>1.5</v>
      </c>
      <c r="Q28" s="33"/>
      <c r="R28" s="35">
        <f t="shared" si="2"/>
        <v>0</v>
      </c>
    </row>
    <row r="29" spans="2:18" x14ac:dyDescent="0.25">
      <c r="B29" s="50" t="s">
        <v>17</v>
      </c>
      <c r="C29" s="51"/>
      <c r="D29" s="37" t="s">
        <v>598</v>
      </c>
      <c r="E29" s="37"/>
      <c r="F29" s="52"/>
      <c r="G29" s="53" t="s">
        <v>3</v>
      </c>
      <c r="H29" s="54"/>
      <c r="I29" s="55"/>
      <c r="J29" s="56">
        <f>SUM(J11:J28)</f>
        <v>3327250</v>
      </c>
      <c r="L29" s="8" t="s">
        <v>614</v>
      </c>
      <c r="M29" s="8">
        <v>1.5</v>
      </c>
      <c r="O29" s="8">
        <v>1.8</v>
      </c>
    </row>
    <row r="30" spans="2:18" x14ac:dyDescent="0.25">
      <c r="B30" s="57"/>
      <c r="C30" s="58"/>
      <c r="D30" s="59" t="s">
        <v>599</v>
      </c>
      <c r="E30" s="39"/>
      <c r="F30" s="60"/>
      <c r="G30" s="61" t="s">
        <v>13</v>
      </c>
      <c r="H30" s="62"/>
      <c r="I30" s="63">
        <v>0</v>
      </c>
      <c r="J30" s="64">
        <f>J29*I30</f>
        <v>0</v>
      </c>
      <c r="L30" s="131" t="s">
        <v>615</v>
      </c>
      <c r="M30" s="132">
        <f>+M23*M29+M24+M25+M26</f>
        <v>3325</v>
      </c>
      <c r="N30" s="131" t="s">
        <v>616</v>
      </c>
      <c r="O30" s="8">
        <f>+O23*O29+O24+O25+O26</f>
        <v>2840</v>
      </c>
    </row>
    <row r="31" spans="2:18" x14ac:dyDescent="0.25">
      <c r="B31" s="38"/>
      <c r="C31" s="39"/>
      <c r="D31" s="39" t="s">
        <v>618</v>
      </c>
      <c r="E31" s="39"/>
      <c r="F31" s="65"/>
      <c r="G31" s="66" t="s">
        <v>4</v>
      </c>
      <c r="H31" s="58"/>
      <c r="I31" s="67"/>
      <c r="J31" s="64">
        <f>J29-J30</f>
        <v>3327250</v>
      </c>
      <c r="L31" s="119" t="s">
        <v>615</v>
      </c>
      <c r="M31" s="119">
        <f>+M30/M19*$M$15</f>
        <v>6175</v>
      </c>
      <c r="N31" s="119" t="s">
        <v>617</v>
      </c>
      <c r="O31" s="8">
        <f>+O30/M19*M15</f>
        <v>5274.2857142857138</v>
      </c>
    </row>
    <row r="32" spans="2:18" x14ac:dyDescent="0.25">
      <c r="B32" s="38"/>
      <c r="C32" s="39"/>
      <c r="D32" s="39" t="s">
        <v>619</v>
      </c>
      <c r="E32" s="39"/>
      <c r="F32" s="60"/>
      <c r="G32" s="61">
        <v>0.19</v>
      </c>
      <c r="H32" s="62"/>
      <c r="I32" s="63">
        <v>0.19</v>
      </c>
      <c r="J32" s="64">
        <f>J31*I32</f>
        <v>632177.5</v>
      </c>
    </row>
    <row r="33" spans="2:10" ht="15.75" thickBot="1" x14ac:dyDescent="0.3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3959427.5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90" activePane="bottomLeft" state="frozen"/>
      <selection activeCell="B1" sqref="B1"/>
      <selection pane="bottomLeft" activeCell="B110" sqref="B110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579</v>
      </c>
      <c r="C106" t="s">
        <v>574</v>
      </c>
      <c r="D106" t="s">
        <v>580</v>
      </c>
      <c r="E106" t="s">
        <v>575</v>
      </c>
      <c r="F106" t="s">
        <v>65</v>
      </c>
      <c r="G106" t="s">
        <v>33</v>
      </c>
      <c r="I106" t="s">
        <v>576</v>
      </c>
      <c r="L106" s="74" t="s">
        <v>577</v>
      </c>
      <c r="M106" t="s">
        <v>578</v>
      </c>
    </row>
    <row r="107" spans="1:13" x14ac:dyDescent="0.25">
      <c r="A107">
        <v>106</v>
      </c>
      <c r="B107" s="36" t="s">
        <v>584</v>
      </c>
      <c r="C107" t="s">
        <v>581</v>
      </c>
      <c r="D107" t="s">
        <v>585</v>
      </c>
      <c r="E107" t="s">
        <v>582</v>
      </c>
      <c r="F107" t="s">
        <v>37</v>
      </c>
      <c r="G107" t="s">
        <v>33</v>
      </c>
      <c r="I107" t="s">
        <v>583</v>
      </c>
      <c r="M107" t="s">
        <v>578</v>
      </c>
    </row>
    <row r="108" spans="1:13" x14ac:dyDescent="0.25">
      <c r="A108">
        <v>107</v>
      </c>
      <c r="B108" s="36">
        <v>1</v>
      </c>
      <c r="C108" t="s">
        <v>586</v>
      </c>
      <c r="E108" t="s">
        <v>587</v>
      </c>
      <c r="F108" t="s">
        <v>65</v>
      </c>
      <c r="G108" t="s">
        <v>33</v>
      </c>
      <c r="I108" t="s">
        <v>588</v>
      </c>
      <c r="L108" s="74" t="s">
        <v>589</v>
      </c>
    </row>
    <row r="109" spans="1:13" x14ac:dyDescent="0.25">
      <c r="A109">
        <v>108</v>
      </c>
      <c r="B109" s="36">
        <v>2</v>
      </c>
      <c r="C109" t="s">
        <v>596</v>
      </c>
      <c r="G109" t="s">
        <v>33</v>
      </c>
      <c r="I109" t="s">
        <v>597</v>
      </c>
      <c r="M109" t="s">
        <v>590</v>
      </c>
    </row>
    <row r="110" spans="1:13" x14ac:dyDescent="0.25">
      <c r="A110">
        <v>109</v>
      </c>
    </row>
    <row r="111" spans="1:13" x14ac:dyDescent="0.25">
      <c r="A111">
        <v>110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  <hyperlink ref="L10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Ernestoo</cp:lastModifiedBy>
  <cp:lastPrinted>2013-08-01T02:33:13Z</cp:lastPrinted>
  <dcterms:created xsi:type="dcterms:W3CDTF">2013-07-12T05:01:37Z</dcterms:created>
  <dcterms:modified xsi:type="dcterms:W3CDTF">2015-04-16T15:11:42Z</dcterms:modified>
</cp:coreProperties>
</file>