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<sst xmlns="http://schemas.openxmlformats.org/spreadsheetml/2006/main" count="838" uniqueCount="606">
  <si>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</si>
  <si>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</si>
  <si>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</si>
  <si>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</si>
  <si>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</si>
  <si>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</si>
  <si>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</si>
  <si>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</si>
  <si>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</si>
  <si>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</si>
  <si>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</si>
  <si>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</si>
  <si>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</si>
  <si>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</si>
  <si>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</si>
  <si>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</si>
  <si>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</si>
  <si>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</si>
  <si>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</si>
  <si>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</si>
  <si>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</si>
  <si>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</si>
  <si>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</si>
  <si>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</si>
  <si>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</si>
  <si>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</si>
  <si>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</si>
  <si>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</si>
  <si>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</si>
  <si>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</si>
  <si>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</si>
  <si>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</si>
  <si>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</si>
  <si>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</si>
  <si>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</si>
  <si>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</si>
  <si>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</si>
  <si>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</si>
  <si>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</si>
  <si>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</si>
  <si>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</si>
  <si>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</si>
  <si>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</si>
  <si>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</si>
  <si>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</si>
  <si>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</si>
  <si>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</si>
  <si>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</si>
  <si>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</si>
  <si>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</si>
  <si>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</si>
  <si>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</si>
  <si>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</si>
  <si>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</si>
  <si>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</si>
  <si>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</si>
  <si>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</si>
  <si>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</si>
  <si>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</si>
  <si>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</si>
  <si>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</si>
  <si>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</si>
  <si>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</si>
  <si>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</si>
  <si>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</si>
  <si>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</si>
  <si>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</si>
  <si>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</si>
  <si>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</si>
  <si>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</si>
  <si>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</si>
  <si>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</si>
  <si>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</si>
  <si>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</si>
  <si>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</si>
  <si>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</si>
  <si>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</si>
  <si>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</si>
  <si>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</si>
  <si>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</si>
  <si>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</si>
  <si>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</si>
  <si>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</si>
  <si>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</si>
  <si>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</si>
  <si>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</si>
  <si>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</si>
  <si>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</si>
  <si>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</si>
  <si>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</si>
  <si>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</si>
  <si>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</si>
  <si>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</si>
  <si>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</si>
  <si>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</si>
  <si>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</si>
  <si>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</si>
  <si>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</si>
  <si>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</si>
  <si>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</si>
  <si>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</si>
  <si>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</si>
  <si>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</si>
  <si>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</si>
  <si>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</si>
  <si>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</si>
  <si>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</si>
  <si>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</si>
  <si>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</si>
  <si>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</si>
  <si>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</si>
  <si>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</si>
  <si>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</si>
  <si>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</si>
  <si>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</si>
  <si>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</si>
  <si>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</si>
  <si>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</si>
  <si>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</si>
  <si>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</si>
  <si>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</si>
  <si>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</si>
  <si>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</si>
  <si>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</si>
  <si>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</si>
  <si>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</si>
  <si>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</si>
  <si>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</si>
  <si>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</si>
  <si>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</si>
  <si>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</si>
  <si>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</si>
  <si>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</si>
  <si>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</si>
  <si>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</si>
  <si>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</si>
  <si>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</si>
  <si>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</si>
  <si>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</si>
  <si>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</si>
  <si>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</si>
  <si>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</si>
  <si>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</si>
  <si>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</si>
  <si>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</si>
  <si>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</si>
  <si>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</si>
  <si>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</si>
  <si>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</si>
  <si>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</si>
  <si>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</si>
  <si>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</si>
  <si>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</si>
  <si>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</si>
  <si>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</si>
  <si>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</si>
  <si>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</si>
  <si>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</si>
  <si>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</si>
  <si>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</si>
  <si>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</si>
  <si>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</si>
  <si>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</si>
  <si>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</si>
  <si>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</si>
  <si>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</si>
  <si>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</si>
  <si>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</si>
  <si>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</si>
  <si>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</si>
  <si>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</si>
  <si>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</si>
  <si>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</si>
  <si>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</si>
  <si>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</si>
  <si>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</si>
  <si>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</si>
  <si>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</si>
  <si>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</si>
  <si>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</si>
  <si>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</si>
  <si>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</si>
  <si>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</si>
  <si>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</si>
  <si>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</si>
  <si>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</si>
  <si>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</si>
  <si>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</si>
  <si>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</si>
  <si>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</si>
  <si>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</si>
  <si>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</si>
  <si>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</si>
  <si>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</si>
  <si>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</si>
  <si>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</si>
  <si>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</si>
  <si>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</si>
  <si>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</si>
  <si>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</si>
  <si>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</si>
  <si>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</si>
  <si>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</si>
  <si>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</si>
  <si>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</si>
  <si>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</si>
  <si>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</si>
  <si>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</si>
  <si>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</si>
  <si>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</si>
  <si>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</si>
  <si>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</si>
  <si>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</si>
  <si>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</si>
  <si>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</si>
  <si>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</si>
  <si>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</si>
  <si>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</si>
  <si>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</si>
  <si>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</si>
  <si>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</si>
  <si>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</si>
  <si>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</si>
  <si>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</si>
  <si>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</si>
  <si>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</si>
  <si>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</si>
  <si>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</si>
  <si>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</si>
  <si>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</si>
  <si>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</si>
  <si>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</si>
  <si>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</si>
  <si>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</si>
  <si>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</si>
  <si>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</si>
  <si>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</si>
  <si>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</si>
  <si>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</si>
  <si>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</si>
  <si>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</si>
  <si>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</si>
  <si>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</si>
  <si>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</si>
  <si>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</si>
  <si>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</si>
  <si>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</si>
  <si>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</si>
  <si>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</si>
  <si>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</si>
  <si>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</si>
  <si>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</si>
  <si>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</si>
  <si>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</si>
  <si>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</si>
  <si>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</si>
  <si>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</si>
  <si>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</si>
  <si>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</si>
  <si>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</si>
  <si>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</si>
  <si>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</si>
  <si>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</si>
  <si>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</si>
  <si>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</si>
  <si>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</si>
  <si>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</si>
  <si>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</si>
  <si>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</si>
  <si>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</si>
  <si>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</si>
  <si>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</si>
  <si>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</si>
  <si>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</si>
  <si>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</si>
  <si>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</si>
  <si>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</si>
  <si>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</si>
  <si>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</si>
  <si>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</si>
  <si>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</si>
  <si>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</si>
  <si>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</si>
  <si>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</si>
  <si>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</si>
  <si>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</si>
  <si>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</si>
  <si>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</si>
  <si>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</si>
  <si>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</si>
  <si>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</si>
  <si>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</si>
  <si>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</si>
  <si>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</si>
  <si>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</si>
  <si>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</si>
  <si>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</si>
  <si>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</si>
  <si>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</si>
  <si>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</si>
  <si>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</si>
  <si>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</si>
  <si>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</si>
  <si>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</si>
  <si>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</si>
  <si>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</si>
  <si>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</si>
  <si>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</si>
  <si>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</si>
  <si>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</si>
  <si>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</si>
  <si>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</si>
  <si>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</si>
  <si>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</si>
  <si>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</si>
  <si>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</si>
  <si>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</si>
  <si>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</si>
  <si>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</si>
  <si>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</si>
  <si>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</si>
  <si>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</si>
  <si>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</si>
  <si>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</si>
  <si>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</si>
  <si>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</si>
  <si>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</si>
  <si>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</si>
  <si>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</si>
  <si>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</si>
  <si>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</si>
  <si>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</si>
  <si>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</si>
  <si>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</si>
  <si>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</si>
  <si>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</si>
  <si>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</si>
  <si>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</si>
  <si>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</si>
  <si>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</si>
  <si>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</si>
  <si>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</si>
  <si>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</si>
  <si>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</si>
  <si>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</si>
  <si>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</si>
  <si>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</si>
  <si>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</si>
  <si>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</si>
  <si>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</si>
  <si>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</si>
  <si>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</si>
  <si>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</si>
  <si>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</si>
  <si>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</si>
  <si>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</si>
  <si>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</si>
  <si>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</si>
  <si>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</si>
  <si>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</si>
  <si>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</si>
  <si>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</si>
  <si>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</si>
  <si>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</si>
  <si>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</si>
  <si>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</si>
  <si>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</si>
  <si>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</si>
  <si>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</si>
  <si>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</si>
  <si>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</si>
  <si>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</si>
  <si>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</si>
  <si>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</si>
  <si>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</si>
  <si>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</si>
  <si>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</si>
  <si>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</si>
  <si>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</si>
  <si>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</si>
  <si>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</si>
  <si>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</si>
  <si>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</si>
  <si>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</si>
  <si>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</si>
  <si>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</si>
  <si>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</si>
  <si>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</si>
  <si>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</si>
  <si>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</si>
  <si>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</si>
  <si>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</si>
  <si>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</si>
  <si>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</si>
  <si>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</si>
  <si>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</si>
  <si>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</si>
  <si>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</si>
  <si>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</si>
  <si>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</si>
  <si>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</si>
  <si>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</si>
  <si>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</si>
  <si>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</si>
  <si>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</si>
  <si>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</si>
  <si>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</si>
  <si>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</si>
  <si>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</si>
  <si>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</si>
  <si>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</si>
  <si>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</si>
  <si>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</si>
  <si>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</si>
  <si>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</si>
  <si>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</si>
  <si>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</si>
  <si>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</si>
  <si>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</si>
  <si>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</si>
  <si>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</si>
  <si>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</si>
  <si>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</si>
  <si>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</si>
  <si>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</si>
  <si>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</si>
  <si>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</si>
  <si>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</si>
  <si>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</si>
  <si>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</si>
  <si>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</si>
  <si>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</si>
  <si>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</si>
  <si>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</si>
  <si>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</si>
  <si>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</si>
  <si>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</si>
  <si>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</si>
  <si>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</si>
  <si>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</si>
  <si>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</si>
  <si>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</si>
  <si>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</si>
  <si>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</si>
  <si>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</si>
  <si>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</si>
  <si>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</si>
  <si>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</si>
  <si>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</si>
  <si>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</si>
  <si>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</si>
  <si>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</si>
  <si>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</si>
  <si>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</si>
  <si>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</si>
  <si>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</si>
  <si>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</si>
  <si>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</si>
  <si>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</si>
  <si>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</si>
  <si>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</si>
  <si>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</si>
  <si>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</si>
  <si>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</si>
  <si>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</si>
  <si>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</si>
  <si>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</si>
  <si>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</si>
  <si>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</si>
  <si>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</si>
  <si>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</si>
  <si>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</si>
  <si>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</si>
  <si>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</si>
  <si>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</si>
  <si>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</si>
  <si>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</si>
  <si>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</si>
  <si>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</si>
  <si>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</si>
  <si>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</si>
  <si>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</si>
  <si>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</si>
  <si>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</si>
  <si>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</si>
  <si>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</si>
  <si>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</si>
  <si>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</si>
  <si>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</si>
  <si>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</si>
  <si>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</si>
  <si>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</si>
  <si>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</si>
  <si>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</si>
  <si>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</si>
  <si>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</si>
  <si>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</si>
  <si>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</si>
  <si>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</si>
  <si>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</si>
  <si>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</si>
  <si>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</si>
  <si>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</si>
  <si>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</si>
  <si>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</si>
  <si>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</si>
  <si>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</si>
  <si>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</si>
  <si>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</si>
  <si>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</si>
  <si>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</si>
  <si>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</si>
  <si>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</si>
  <si>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</si>
  <si>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</si>
  <si>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</si>
  <si>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</si>
  <si>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</si>
  <si>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</si>
  <si>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</si>
  <si>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</si>
  <si>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</si>
  <si>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</si>
  <si>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</si>
  <si>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</si>
  <si>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</si>
  <si>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</si>
  <si>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</si>
  <si>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</si>
  <si>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</si>
  <si>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</si>
  <si>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</si>
  <si>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</si>
  <si>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</si>
  <si>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</si>
  <si>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</si>
  <si>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</si>
  <si>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</si>
  <si>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</si>
  <si>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</si>
  <si>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</si>
  <si>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</si>
  <si>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</si>
  <si>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</si>
  <si>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</si>
  <si>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</si>
  <si>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</si>
  <si>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</si>
  <si>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</si>
  <si>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</si>
  <si>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</si>
  <si>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</si>
  <si>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</si>
  <si>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</si>
  <si>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</si>
  <si>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</si>
  <si>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</si>
  <si>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</si>
  <si>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</si>
  <si>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</si>
  <si>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</si>
  <si>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</si>
  <si>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</si>
  <si>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</si>
  <si>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</si>
  <si>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</si>
  <si>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</si>
  <si>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</si>
  <si>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</si>
  <si>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</si>
  <si>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</si>
  <si>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</si>
  <si>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</si>
  <si>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</si>
  <si>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</si>
  <si>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</si>
  <si>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</si>
  <si>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</si>
  <si>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</si>
  <si>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</si>
  <si>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</si>
  <si>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</si>
  <si>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</si>
  <si>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</si>
  <si>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</si>
  <si>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</si>
  <si>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</si>
  <si>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</si>
  <si>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</si>
  <si>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</si>
  <si>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</si>
  <si>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Claudia</t>
  </si>
  <si>
    <t>30 días</t>
  </si>
  <si>
    <t>Rodolfo Araya</t>
  </si>
  <si>
    <t>raraya@triogroup.cl</t>
  </si>
  <si>
    <t>Gabriel Cucoch</t>
  </si>
  <si>
    <t>M. XLPE 2" 2,70 m largo camlock C inox. Ambos</t>
  </si>
  <si>
    <t>M. XLPE 2" 5,60 m largo camlock C inox. Ambos</t>
  </si>
  <si>
    <t>M. XLPE 2" 1,50 m largo camlock C inox. Ambos</t>
  </si>
  <si>
    <t>valor x punta</t>
  </si>
  <si>
    <t>inspain</t>
  </si>
  <si>
    <t>allen</t>
  </si>
  <si>
    <t>danus</t>
  </si>
  <si>
    <t>mang.</t>
  </si>
  <si>
    <t>ferrula inspain</t>
  </si>
  <si>
    <t>media mang.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</si>
</sst>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 vertical="top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3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4" fillId="32" borderId="14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horizontal="left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172" fontId="4" fillId="3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2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2" borderId="10" xfId="0" applyFont="1" applyFill="1" applyBorder="1" applyAlignment="1" applyProtection="1">
      <alignment/>
      <protection locked="0"/>
    </xf>
    <xf numFmtId="0" fontId="7" fillId="32" borderId="11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 horizontal="center"/>
      <protection locked="0"/>
    </xf>
    <xf numFmtId="0" fontId="7" fillId="32" borderId="14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 horizontal="left"/>
      <protection locked="0"/>
    </xf>
    <xf numFmtId="172" fontId="9" fillId="32" borderId="15" xfId="0" applyNumberFormat="1" applyFont="1" applyFill="1" applyBorder="1" applyAlignment="1" applyProtection="1">
      <alignment horizontal="left" vertical="center"/>
      <protection/>
    </xf>
    <xf numFmtId="0" fontId="7" fillId="32" borderId="25" xfId="0" applyFont="1" applyFill="1" applyBorder="1" applyAlignment="1" applyProtection="1">
      <alignment/>
      <protection locked="0"/>
    </xf>
    <xf numFmtId="0" fontId="7" fillId="32" borderId="24" xfId="0" applyFont="1" applyFill="1" applyBorder="1" applyAlignment="1" applyProtection="1">
      <alignment/>
      <protection locked="0"/>
    </xf>
    <xf numFmtId="0" fontId="9" fillId="32" borderId="24" xfId="0" applyFont="1" applyFill="1" applyBorder="1" applyAlignment="1" applyProtection="1">
      <alignment/>
      <protection locked="0"/>
    </xf>
    <xf numFmtId="172" fontId="9" fillId="32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10" fillId="32" borderId="14" xfId="0" applyFon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/>
      <protection locked="0"/>
    </xf>
    <xf numFmtId="0" fontId="10" fillId="32" borderId="15" xfId="0" applyFont="1" applyFill="1" applyBorder="1" applyAlignment="1" applyProtection="1">
      <alignment/>
      <protection locked="0"/>
    </xf>
    <xf numFmtId="0" fontId="10" fillId="32" borderId="32" xfId="0" applyFont="1" applyFill="1" applyBorder="1" applyAlignment="1" applyProtection="1">
      <alignment/>
      <protection locked="0"/>
    </xf>
    <xf numFmtId="0" fontId="10" fillId="32" borderId="25" xfId="0" applyFont="1" applyFill="1" applyBorder="1" applyAlignment="1" applyProtection="1">
      <alignment/>
      <protection locked="0"/>
    </xf>
    <xf numFmtId="0" fontId="10" fillId="32" borderId="24" xfId="0" applyFont="1" applyFill="1" applyBorder="1" applyAlignment="1" applyProtection="1">
      <alignment/>
      <protection locked="0"/>
    </xf>
    <xf numFmtId="0" fontId="10" fillId="32" borderId="26" xfId="0" applyFont="1" applyFill="1" applyBorder="1" applyAlignment="1" applyProtection="1">
      <alignment/>
      <protection locked="0"/>
    </xf>
    <xf numFmtId="0" fontId="9" fillId="32" borderId="10" xfId="0" applyFont="1" applyFill="1" applyBorder="1" applyAlignment="1" applyProtection="1">
      <alignment/>
      <protection locked="0"/>
    </xf>
    <xf numFmtId="0" fontId="7" fillId="32" borderId="12" xfId="0" applyFont="1" applyFill="1" applyBorder="1" applyAlignment="1" applyProtection="1">
      <alignment/>
      <protection locked="0"/>
    </xf>
    <xf numFmtId="0" fontId="7" fillId="32" borderId="28" xfId="0" applyFont="1" applyFill="1" applyBorder="1" applyAlignment="1" applyProtection="1">
      <alignment horizontal="right" vertical="center"/>
      <protection locked="0"/>
    </xf>
    <xf numFmtId="0" fontId="7" fillId="32" borderId="11" xfId="0" applyFont="1" applyFill="1" applyBorder="1" applyAlignment="1" applyProtection="1">
      <alignment horizontal="right" vertical="center"/>
      <protection locked="0"/>
    </xf>
    <xf numFmtId="0" fontId="7" fillId="32" borderId="30" xfId="0" applyFont="1" applyFill="1" applyBorder="1" applyAlignment="1" applyProtection="1">
      <alignment horizontal="right"/>
      <protection locked="0"/>
    </xf>
    <xf numFmtId="1" fontId="7" fillId="32" borderId="31" xfId="0" applyNumberFormat="1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7" fillId="32" borderId="15" xfId="0" applyFont="1" applyFill="1" applyBorder="1" applyAlignment="1" applyProtection="1">
      <alignment horizontal="right"/>
      <protection locked="0"/>
    </xf>
    <xf numFmtId="9" fontId="7" fillId="32" borderId="33" xfId="0" applyNumberFormat="1" applyFont="1" applyFill="1" applyBorder="1" applyAlignment="1" applyProtection="1">
      <alignment horizontal="right" vertical="center"/>
      <protection locked="0"/>
    </xf>
    <xf numFmtId="9" fontId="7" fillId="32" borderId="0" xfId="0" applyNumberFormat="1" applyFont="1" applyFill="1" applyBorder="1" applyAlignment="1" applyProtection="1">
      <alignment horizontal="right" vertical="center"/>
      <protection locked="0"/>
    </xf>
    <xf numFmtId="9" fontId="7" fillId="32" borderId="19" xfId="0" applyNumberFormat="1" applyFont="1" applyFill="1" applyBorder="1" applyAlignment="1" applyProtection="1">
      <alignment horizontal="center" vertical="center"/>
      <protection locked="0"/>
    </xf>
    <xf numFmtId="1" fontId="7" fillId="32" borderId="34" xfId="0" applyNumberFormat="1" applyFont="1" applyFill="1" applyBorder="1" applyAlignment="1" applyProtection="1">
      <alignment horizontal="center"/>
      <protection/>
    </xf>
    <xf numFmtId="0" fontId="7" fillId="32" borderId="15" xfId="0" applyFont="1" applyFill="1" applyBorder="1" applyAlignment="1" applyProtection="1">
      <alignment/>
      <protection locked="0"/>
    </xf>
    <xf numFmtId="0" fontId="7" fillId="32" borderId="33" xfId="0" applyFont="1" applyFill="1" applyBorder="1" applyAlignment="1" applyProtection="1">
      <alignment horizontal="right" vertical="center"/>
      <protection locked="0"/>
    </xf>
    <xf numFmtId="0" fontId="7" fillId="32" borderId="19" xfId="0" applyFont="1" applyFill="1" applyBorder="1" applyAlignment="1" applyProtection="1">
      <alignment horizontal="right"/>
      <protection locked="0"/>
    </xf>
    <xf numFmtId="0" fontId="7" fillId="32" borderId="26" xfId="0" applyFont="1" applyFill="1" applyBorder="1" applyAlignment="1" applyProtection="1">
      <alignment/>
      <protection locked="0"/>
    </xf>
    <xf numFmtId="0" fontId="7" fillId="32" borderId="35" xfId="0" applyFont="1" applyFill="1" applyBorder="1" applyAlignment="1" applyProtection="1">
      <alignment horizontal="right" vertical="center"/>
      <protection locked="0"/>
    </xf>
    <xf numFmtId="0" fontId="7" fillId="32" borderId="24" xfId="0" applyFont="1" applyFill="1" applyBorder="1" applyAlignment="1" applyProtection="1">
      <alignment horizontal="right" vertical="center"/>
      <protection locked="0"/>
    </xf>
    <xf numFmtId="0" fontId="7" fillId="32" borderId="36" xfId="0" applyFont="1" applyFill="1" applyBorder="1" applyAlignment="1" applyProtection="1">
      <alignment horizontal="right"/>
      <protection locked="0"/>
    </xf>
    <xf numFmtId="1" fontId="7" fillId="32" borderId="37" xfId="0" applyNumberFormat="1" applyFont="1" applyFill="1" applyBorder="1" applyAlignment="1" applyProtection="1">
      <alignment horizontal="center"/>
      <protection/>
    </xf>
    <xf numFmtId="173" fontId="11" fillId="0" borderId="13" xfId="45" applyNumberFormat="1" applyFont="1" applyFill="1" applyBorder="1" applyAlignment="1" applyProtection="1">
      <alignment horizontal="center" vertical="center"/>
      <protection locked="0"/>
    </xf>
    <xf numFmtId="174" fontId="7" fillId="32" borderId="32" xfId="0" applyNumberFormat="1" applyFont="1" applyFill="1" applyBorder="1" applyAlignment="1" applyProtection="1">
      <alignment horizontal="center"/>
      <protection/>
    </xf>
    <xf numFmtId="174" fontId="7" fillId="32" borderId="32" xfId="0" applyNumberFormat="1" applyFont="1" applyFill="1" applyBorder="1" applyAlignment="1" applyProtection="1">
      <alignment horizontal="center"/>
      <protection locked="0"/>
    </xf>
    <xf numFmtId="174" fontId="7" fillId="32" borderId="15" xfId="0" applyNumberFormat="1" applyFont="1" applyFill="1" applyBorder="1" applyAlignment="1" applyProtection="1">
      <alignment horizontal="center"/>
      <protection/>
    </xf>
    <xf numFmtId="174" fontId="7" fillId="32" borderId="38" xfId="0" applyNumberFormat="1" applyFont="1" applyFill="1" applyBorder="1" applyAlignment="1" applyProtection="1">
      <alignment horizontal="center"/>
      <protection/>
    </xf>
    <xf numFmtId="174" fontId="7" fillId="32" borderId="38" xfId="0" applyNumberFormat="1" applyFont="1" applyFill="1" applyBorder="1" applyAlignment="1" applyProtection="1">
      <alignment horizontal="center"/>
      <protection locked="0"/>
    </xf>
    <xf numFmtId="174" fontId="7" fillId="32" borderId="26" xfId="0" applyNumberFormat="1" applyFont="1" applyFill="1" applyBorder="1" applyAlignment="1" applyProtection="1">
      <alignment horizontal="center"/>
      <protection/>
    </xf>
    <xf numFmtId="0" fontId="7" fillId="32" borderId="10" xfId="0" applyNumberFormat="1" applyFont="1" applyFill="1" applyBorder="1" applyAlignment="1" applyProtection="1">
      <alignment horizontal="center"/>
      <protection locked="0"/>
    </xf>
    <xf numFmtId="0" fontId="7" fillId="32" borderId="14" xfId="0" applyNumberFormat="1" applyFont="1" applyFill="1" applyBorder="1" applyAlignment="1" applyProtection="1">
      <alignment horizontal="center"/>
      <protection locked="0"/>
    </xf>
    <xf numFmtId="0" fontId="10" fillId="32" borderId="15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/>
      <protection locked="0"/>
    </xf>
    <xf numFmtId="0" fontId="12" fillId="32" borderId="0" xfId="0" applyFont="1" applyFill="1" applyBorder="1" applyAlignment="1" applyProtection="1">
      <alignment horizontal="left"/>
      <protection/>
    </xf>
    <xf numFmtId="0" fontId="9" fillId="32" borderId="0" xfId="0" applyFont="1" applyFill="1" applyBorder="1" applyAlignment="1" applyProtection="1">
      <alignment horizontal="left"/>
      <protection/>
    </xf>
    <xf numFmtId="174" fontId="12" fillId="32" borderId="15" xfId="0" applyNumberFormat="1" applyFont="1" applyFill="1" applyBorder="1" applyAlignment="1" applyProtection="1">
      <alignment horizontal="left"/>
      <protection/>
    </xf>
    <xf numFmtId="174" fontId="12" fillId="32" borderId="12" xfId="0" applyNumberFormat="1" applyFont="1" applyFill="1" applyBorder="1" applyAlignment="1" applyProtection="1">
      <alignment horizontal="left"/>
      <protection/>
    </xf>
    <xf numFmtId="0" fontId="13" fillId="32" borderId="15" xfId="0" applyFont="1" applyFill="1" applyBorder="1" applyAlignment="1" applyProtection="1">
      <alignment horizontal="center"/>
      <protection locked="0"/>
    </xf>
    <xf numFmtId="0" fontId="13" fillId="32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0" fontId="9" fillId="32" borderId="15" xfId="45" applyFont="1" applyFill="1" applyBorder="1" applyAlignment="1" applyProtection="1">
      <alignment horizontal="left"/>
      <protection/>
    </xf>
    <xf numFmtId="0" fontId="14" fillId="32" borderId="14" xfId="0" applyNumberFormat="1" applyFont="1" applyFill="1" applyBorder="1" applyAlignment="1" applyProtection="1">
      <alignment horizontal="center"/>
      <protection locked="0"/>
    </xf>
    <xf numFmtId="174" fontId="13" fillId="32" borderId="27" xfId="0" applyNumberFormat="1" applyFont="1" applyFill="1" applyBorder="1" applyAlignment="1" applyProtection="1">
      <alignment horizontal="center"/>
      <protection/>
    </xf>
    <xf numFmtId="174" fontId="13" fillId="32" borderId="27" xfId="0" applyNumberFormat="1" applyFont="1" applyFill="1" applyBorder="1" applyAlignment="1" applyProtection="1">
      <alignment horizontal="center"/>
      <protection locked="0"/>
    </xf>
    <xf numFmtId="174" fontId="13" fillId="32" borderId="12" xfId="0" applyNumberFormat="1" applyFont="1" applyFill="1" applyBorder="1" applyAlignment="1" applyProtection="1">
      <alignment horizontal="center"/>
      <protection/>
    </xf>
    <xf numFmtId="0" fontId="13" fillId="32" borderId="32" xfId="0" applyFont="1" applyFill="1" applyBorder="1" applyAlignment="1" applyProtection="1">
      <alignment/>
      <protection locked="0"/>
    </xf>
    <xf numFmtId="174" fontId="13" fillId="32" borderId="32" xfId="0" applyNumberFormat="1" applyFont="1" applyFill="1" applyBorder="1" applyAlignment="1" applyProtection="1">
      <alignment horizontal="center"/>
      <protection/>
    </xf>
    <xf numFmtId="174" fontId="13" fillId="32" borderId="32" xfId="0" applyNumberFormat="1" applyFont="1" applyFill="1" applyBorder="1" applyAlignment="1" applyProtection="1">
      <alignment horizontal="center"/>
      <protection locked="0"/>
    </xf>
    <xf numFmtId="174" fontId="13" fillId="32" borderId="15" xfId="0" applyNumberFormat="1" applyFont="1" applyFill="1" applyBorder="1" applyAlignment="1" applyProtection="1">
      <alignment horizontal="center"/>
      <protection/>
    </xf>
    <xf numFmtId="0" fontId="7" fillId="32" borderId="15" xfId="0" applyFont="1" applyFill="1" applyBorder="1" applyAlignment="1" applyProtection="1">
      <alignment horizontal="center"/>
      <protection locked="0"/>
    </xf>
    <xf numFmtId="0" fontId="7" fillId="32" borderId="32" xfId="0" applyFont="1" applyFill="1" applyBorder="1" applyAlignment="1" applyProtection="1">
      <alignment/>
      <protection locked="0"/>
    </xf>
    <xf numFmtId="174" fontId="40" fillId="0" borderId="0" xfId="45" applyNumberFormat="1" applyFill="1" applyBorder="1" applyAlignment="1" applyProtection="1">
      <alignment/>
      <protection/>
    </xf>
    <xf numFmtId="17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13" fillId="32" borderId="27" xfId="0" applyFont="1" applyFill="1" applyBorder="1" applyAlignment="1" applyProtection="1">
      <alignment horizontal="center"/>
      <protection locked="0"/>
    </xf>
    <xf numFmtId="0" fontId="13" fillId="32" borderId="32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4" fontId="9" fillId="32" borderId="0" xfId="0" applyNumberFormat="1" applyFont="1" applyFill="1" applyBorder="1" applyAlignment="1" applyProtection="1">
      <alignment horizontal="left"/>
      <protection/>
    </xf>
    <xf numFmtId="174" fontId="9" fillId="32" borderId="15" xfId="0" applyNumberFormat="1" applyFont="1" applyFill="1" applyBorder="1" applyAlignment="1" applyProtection="1">
      <alignment horizontal="left"/>
      <protection/>
    </xf>
    <xf numFmtId="174" fontId="12" fillId="32" borderId="0" xfId="0" applyNumberFormat="1" applyFont="1" applyFill="1" applyBorder="1" applyAlignment="1" applyProtection="1">
      <alignment horizontal="left"/>
      <protection/>
    </xf>
    <xf numFmtId="0" fontId="7" fillId="32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12" fillId="32" borderId="1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9" fillId="32" borderId="14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0" fillId="32" borderId="14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raya@triogroup.c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D4">
      <selection activeCell="M13" sqref="M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2410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1" t="s">
        <v>504</v>
      </c>
      <c r="E4" s="38" t="s">
        <v>12</v>
      </c>
      <c r="F4" s="39"/>
      <c r="G4" s="39"/>
      <c r="H4" s="40"/>
      <c r="I4" s="38" t="s">
        <v>9</v>
      </c>
      <c r="J4" s="97">
        <f>VLOOKUP(D4,CLIENTES,10,FALSE)</f>
        <v>0</v>
      </c>
      <c r="K4" s="20"/>
    </row>
    <row r="5" spans="2:11" ht="15">
      <c r="B5" s="41"/>
      <c r="C5" s="42"/>
      <c r="D5" s="43"/>
      <c r="E5" s="120" t="str">
        <f>VLOOKUP(D4,CLIENTES,4,FALSE)</f>
        <v>Calle Esquina Blanca  1117</v>
      </c>
      <c r="F5" s="120"/>
      <c r="G5" s="120"/>
      <c r="H5" s="120"/>
      <c r="I5" s="120"/>
      <c r="J5" s="121"/>
      <c r="K5" s="20"/>
    </row>
    <row r="6" spans="2:10" ht="17.25" customHeight="1">
      <c r="B6" s="41" t="s">
        <v>27</v>
      </c>
      <c r="C6" s="42"/>
      <c r="D6" s="95" t="str">
        <f>VLOOKUP(D4,CLIENTES,2,FALSE)</f>
        <v>TRIO S.A.</v>
      </c>
      <c r="E6" s="42" t="s">
        <v>7</v>
      </c>
      <c r="F6" s="120" t="str">
        <f>VLOOKUP(D4,CLIENTES,5,FALSE)</f>
        <v>MAIPU</v>
      </c>
      <c r="G6" s="120"/>
      <c r="H6" s="120"/>
      <c r="I6" s="113" t="s">
        <v>594</v>
      </c>
      <c r="J6" s="102"/>
    </row>
    <row r="7" spans="2:10" ht="15">
      <c r="B7" s="41" t="s">
        <v>25</v>
      </c>
      <c r="C7" s="42"/>
      <c r="D7" s="94" t="str">
        <f>VLOOKUP(D4,CLIENTES,3,FALSE)</f>
        <v>ALIMENTICIA</v>
      </c>
      <c r="E7" s="42" t="s">
        <v>8</v>
      </c>
      <c r="F7" s="122" t="str">
        <f>VLOOKUP(D4,CLIENTES,6,FALSE)</f>
        <v>STGO</v>
      </c>
      <c r="G7" s="122"/>
      <c r="H7" s="122"/>
      <c r="I7" s="42" t="s">
        <v>26</v>
      </c>
      <c r="J7" s="96" t="s">
        <v>593</v>
      </c>
    </row>
    <row r="8" spans="2:12" ht="15.75" thickBot="1">
      <c r="B8" s="123" t="s">
        <v>28</v>
      </c>
      <c r="C8" s="132"/>
      <c r="D8" s="94" t="s">
        <v>592</v>
      </c>
      <c r="E8" s="42" t="s">
        <v>11</v>
      </c>
      <c r="F8" s="122" t="s">
        <v>595</v>
      </c>
      <c r="G8" s="122"/>
      <c r="H8" s="122"/>
      <c r="I8" s="42" t="s">
        <v>14</v>
      </c>
      <c r="J8" s="44">
        <f ca="1">TODAY()</f>
        <v>42081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M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33" t="s">
        <v>24</v>
      </c>
      <c r="D10" s="134"/>
      <c r="E10" s="135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8" t="s">
        <v>599</v>
      </c>
      <c r="M10" s="25"/>
      <c r="N10" s="25">
        <v>1500</v>
      </c>
      <c r="O10" s="25"/>
      <c r="P10" s="26" t="s">
        <v>16</v>
      </c>
      <c r="Q10" s="25" t="s">
        <v>19</v>
      </c>
      <c r="R10" s="27" t="s">
        <v>20</v>
      </c>
    </row>
    <row r="11" spans="2:19" ht="15">
      <c r="B11" s="90">
        <v>1</v>
      </c>
      <c r="C11" s="136" t="s">
        <v>596</v>
      </c>
      <c r="D11" s="137"/>
      <c r="E11" s="138"/>
      <c r="F11" s="99">
        <v>1</v>
      </c>
      <c r="G11" s="116" t="s">
        <v>23</v>
      </c>
      <c r="H11" s="104">
        <f>+R11</f>
        <v>133120.5</v>
      </c>
      <c r="I11" s="105">
        <v>3</v>
      </c>
      <c r="J11" s="106">
        <f aca="true" t="shared" si="0" ref="J11:J28">F11*H11*(1-I11/100)</f>
        <v>129126.885</v>
      </c>
      <c r="K11" s="28" t="s">
        <v>600</v>
      </c>
      <c r="L11" s="115" t="s">
        <v>603</v>
      </c>
      <c r="M11" s="115">
        <v>20500</v>
      </c>
      <c r="N11" s="29">
        <v>5</v>
      </c>
      <c r="O11" s="29">
        <v>3.1</v>
      </c>
      <c r="P11" s="30">
        <v>1.5</v>
      </c>
      <c r="Q11" s="31">
        <f>+((M17)*N13)+(L12*2)+(L15*2)+(N10*2)</f>
        <v>88747</v>
      </c>
      <c r="R11" s="35">
        <f>Q11*P11</f>
        <v>133120.5</v>
      </c>
      <c r="S11" s="119">
        <f>+J11-Q11</f>
        <v>40379.884999999995</v>
      </c>
    </row>
    <row r="12" spans="2:19" ht="15">
      <c r="B12" s="91">
        <v>2</v>
      </c>
      <c r="C12" s="126" t="s">
        <v>597</v>
      </c>
      <c r="D12" s="127"/>
      <c r="E12" s="128"/>
      <c r="F12" s="98">
        <v>1</v>
      </c>
      <c r="G12" s="117" t="s">
        <v>23</v>
      </c>
      <c r="H12" s="108">
        <f>+R12</f>
        <v>219198</v>
      </c>
      <c r="I12" s="109">
        <v>3</v>
      </c>
      <c r="J12" s="110">
        <f t="shared" si="0"/>
        <v>212622.06</v>
      </c>
      <c r="K12" s="28" t="s">
        <v>601</v>
      </c>
      <c r="L12" s="118">
        <v>8781</v>
      </c>
      <c r="M12" s="29"/>
      <c r="N12" s="29"/>
      <c r="O12" s="29"/>
      <c r="P12" s="30">
        <v>1.5</v>
      </c>
      <c r="Q12" s="31">
        <f>+((M17)*N11)+(L12*2)+(L15*2)+(N10*2)</f>
        <v>146132</v>
      </c>
      <c r="R12" s="35">
        <f aca="true" t="shared" si="1" ref="R12:R28">Q12*P12</f>
        <v>219198</v>
      </c>
      <c r="S12" s="119">
        <f>+J12-Q12</f>
        <v>66490.06</v>
      </c>
    </row>
    <row r="13" spans="2:19" ht="15">
      <c r="B13" s="91">
        <v>3</v>
      </c>
      <c r="C13" s="126" t="s">
        <v>598</v>
      </c>
      <c r="D13" s="127"/>
      <c r="E13" s="128"/>
      <c r="F13" s="98">
        <v>1</v>
      </c>
      <c r="G13" s="117" t="s">
        <v>23</v>
      </c>
      <c r="H13" s="108">
        <f aca="true" t="shared" si="2" ref="H13:H18">+R13</f>
        <v>98689.5</v>
      </c>
      <c r="I13" s="109">
        <v>3</v>
      </c>
      <c r="J13" s="110">
        <f t="shared" si="0"/>
        <v>95728.815</v>
      </c>
      <c r="K13" s="28" t="s">
        <v>602</v>
      </c>
      <c r="L13" s="29" t="s">
        <v>603</v>
      </c>
      <c r="M13" s="29">
        <v>25408</v>
      </c>
      <c r="N13" s="29">
        <v>2.5</v>
      </c>
      <c r="O13" s="29"/>
      <c r="P13" s="30">
        <v>1.5</v>
      </c>
      <c r="Q13" s="31">
        <f>+((M17)*1.5)+(L12*2)+(L15*2)+(N10*2)</f>
        <v>65793</v>
      </c>
      <c r="R13" s="35">
        <f t="shared" si="1"/>
        <v>98689.5</v>
      </c>
      <c r="S13" s="119">
        <f>+J13-Q13</f>
        <v>29935.815000000002</v>
      </c>
    </row>
    <row r="14" spans="2:18" ht="15">
      <c r="B14" s="91"/>
      <c r="C14" s="126"/>
      <c r="D14" s="127"/>
      <c r="E14" s="128"/>
      <c r="F14" s="98"/>
      <c r="G14" s="107"/>
      <c r="H14" s="108">
        <f t="shared" si="2"/>
        <v>0</v>
      </c>
      <c r="I14" s="85">
        <v>0</v>
      </c>
      <c r="J14" s="86">
        <f t="shared" si="0"/>
        <v>0</v>
      </c>
      <c r="K14" s="28"/>
      <c r="L14" s="29"/>
      <c r="M14" s="29">
        <f>+M13*N13</f>
        <v>63520</v>
      </c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1"/>
      <c r="C15" s="129"/>
      <c r="D15" s="130"/>
      <c r="E15" s="131"/>
      <c r="F15" s="111"/>
      <c r="G15" s="112"/>
      <c r="H15" s="108">
        <f t="shared" si="2"/>
        <v>0</v>
      </c>
      <c r="I15" s="85">
        <v>0</v>
      </c>
      <c r="J15" s="86">
        <f t="shared" si="0"/>
        <v>0</v>
      </c>
      <c r="K15" s="28" t="s">
        <v>604</v>
      </c>
      <c r="L15" s="29">
        <v>5400</v>
      </c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1"/>
      <c r="C16" s="123"/>
      <c r="D16" s="124"/>
      <c r="E16" s="125"/>
      <c r="F16" s="111"/>
      <c r="G16" s="112"/>
      <c r="H16" s="108">
        <f t="shared" si="2"/>
        <v>0</v>
      </c>
      <c r="I16" s="85">
        <v>0</v>
      </c>
      <c r="J16" s="86">
        <f t="shared" si="0"/>
        <v>0</v>
      </c>
      <c r="K16" s="28">
        <v>6</v>
      </c>
      <c r="L16" s="29"/>
      <c r="M16" s="29" t="s">
        <v>605</v>
      </c>
      <c r="N16" s="29"/>
      <c r="O16" s="29"/>
      <c r="P16" s="30">
        <v>1.5</v>
      </c>
      <c r="Q16" s="31"/>
      <c r="R16" s="35">
        <f t="shared" si="1"/>
        <v>0</v>
      </c>
    </row>
    <row r="17" spans="2:19" ht="15">
      <c r="B17" s="91"/>
      <c r="C17" s="123"/>
      <c r="D17" s="124"/>
      <c r="E17" s="125"/>
      <c r="F17" s="111"/>
      <c r="G17" s="112"/>
      <c r="H17" s="108">
        <f t="shared" si="2"/>
        <v>0</v>
      </c>
      <c r="I17" s="85">
        <v>0</v>
      </c>
      <c r="J17" s="86">
        <f t="shared" si="0"/>
        <v>0</v>
      </c>
      <c r="K17" s="28">
        <v>7</v>
      </c>
      <c r="L17" s="29"/>
      <c r="M17" s="29">
        <f>(+M13+M11)/2</f>
        <v>22954</v>
      </c>
      <c r="N17" s="29"/>
      <c r="O17" s="29"/>
      <c r="P17" s="30">
        <v>1.5</v>
      </c>
      <c r="Q17" s="31"/>
      <c r="R17" s="35">
        <f t="shared" si="1"/>
        <v>0</v>
      </c>
      <c r="S17" s="119"/>
    </row>
    <row r="18" spans="2:18" ht="15">
      <c r="B18" s="91"/>
      <c r="C18" s="123"/>
      <c r="D18" s="124"/>
      <c r="E18" s="125"/>
      <c r="F18" s="111"/>
      <c r="G18" s="112"/>
      <c r="H18" s="108">
        <f t="shared" si="2"/>
        <v>0</v>
      </c>
      <c r="I18" s="85">
        <v>0</v>
      </c>
      <c r="J18" s="86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3">
        <v>9</v>
      </c>
      <c r="C19" s="139"/>
      <c r="D19" s="124"/>
      <c r="E19" s="125"/>
      <c r="F19" s="92"/>
      <c r="G19" s="57"/>
      <c r="H19" s="84">
        <f aca="true" t="shared" si="3" ref="H19:H28">VLOOKUP(B19,COTIZADO,8,FALSE)</f>
        <v>0</v>
      </c>
      <c r="I19" s="85">
        <v>0</v>
      </c>
      <c r="J19" s="86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3">
        <v>10</v>
      </c>
      <c r="C20" s="139"/>
      <c r="D20" s="124"/>
      <c r="E20" s="125"/>
      <c r="F20" s="92"/>
      <c r="G20" s="57"/>
      <c r="H20" s="84">
        <f t="shared" si="3"/>
        <v>0</v>
      </c>
      <c r="I20" s="85">
        <v>0</v>
      </c>
      <c r="J20" s="86">
        <f t="shared" si="0"/>
        <v>0</v>
      </c>
      <c r="K20" s="28">
        <v>10</v>
      </c>
      <c r="L20" s="114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3">
        <v>11</v>
      </c>
      <c r="C21" s="139"/>
      <c r="D21" s="124"/>
      <c r="E21" s="125"/>
      <c r="F21" s="92"/>
      <c r="G21" s="57"/>
      <c r="H21" s="84">
        <f t="shared" si="3"/>
        <v>0</v>
      </c>
      <c r="I21" s="85">
        <v>0</v>
      </c>
      <c r="J21" s="8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3">
        <v>12</v>
      </c>
      <c r="C22" s="139"/>
      <c r="D22" s="124"/>
      <c r="E22" s="125"/>
      <c r="F22" s="92"/>
      <c r="G22" s="57"/>
      <c r="H22" s="84">
        <f t="shared" si="3"/>
        <v>0</v>
      </c>
      <c r="I22" s="85">
        <v>0</v>
      </c>
      <c r="J22" s="8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3">
        <v>13</v>
      </c>
      <c r="C23" s="139"/>
      <c r="D23" s="124"/>
      <c r="E23" s="125"/>
      <c r="F23" s="92"/>
      <c r="G23" s="57"/>
      <c r="H23" s="84">
        <f t="shared" si="3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3">
        <v>14</v>
      </c>
      <c r="C24" s="139"/>
      <c r="D24" s="124"/>
      <c r="E24" s="125"/>
      <c r="F24" s="92"/>
      <c r="G24" s="57"/>
      <c r="H24" s="84">
        <f t="shared" si="3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3">
        <v>15</v>
      </c>
      <c r="C25" s="54"/>
      <c r="D25" s="55"/>
      <c r="E25" s="56"/>
      <c r="F25" s="92"/>
      <c r="G25" s="57"/>
      <c r="H25" s="84">
        <f t="shared" si="3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3">
        <v>16</v>
      </c>
      <c r="C26" s="54"/>
      <c r="D26" s="55"/>
      <c r="E26" s="56"/>
      <c r="F26" s="92"/>
      <c r="G26" s="57"/>
      <c r="H26" s="84">
        <f t="shared" si="3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3">
        <v>17</v>
      </c>
      <c r="C27" s="54"/>
      <c r="D27" s="55"/>
      <c r="E27" s="56"/>
      <c r="F27" s="92"/>
      <c r="G27" s="57"/>
      <c r="H27" s="84">
        <f t="shared" si="3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3">
        <v>18</v>
      </c>
      <c r="C28" s="58"/>
      <c r="D28" s="59"/>
      <c r="E28" s="60"/>
      <c r="F28" s="92"/>
      <c r="G28" s="57"/>
      <c r="H28" s="87">
        <f t="shared" si="3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1" t="s">
        <v>17</v>
      </c>
      <c r="C29" s="93"/>
      <c r="D29" s="42"/>
      <c r="E29" s="42"/>
      <c r="F29" s="62"/>
      <c r="G29" s="63" t="s">
        <v>3</v>
      </c>
      <c r="H29" s="64"/>
      <c r="I29" s="65"/>
      <c r="J29" s="66">
        <f>SUM(J11:J28)</f>
        <v>437477.76</v>
      </c>
    </row>
    <row r="30" spans="2:10" ht="15">
      <c r="B30" s="67"/>
      <c r="C30" s="68"/>
      <c r="D30" s="69"/>
      <c r="E30" s="42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437477.76</v>
      </c>
    </row>
    <row r="32" spans="2:10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83120.77440000001</v>
      </c>
    </row>
    <row r="33" spans="2:10" ht="15.75" thickBot="1">
      <c r="B33" s="45"/>
      <c r="C33" s="46"/>
      <c r="D33" s="46"/>
      <c r="E33" s="46"/>
      <c r="F33" s="78"/>
      <c r="G33" s="79" t="s">
        <v>2</v>
      </c>
      <c r="H33" s="80"/>
      <c r="I33" s="81"/>
      <c r="J33" s="82">
        <f>J31+J32</f>
        <v>520598.5344</v>
      </c>
    </row>
  </sheetData>
  <sheetProtection formatCells="0"/>
  <mergeCells count="20">
    <mergeCell ref="C12:E12"/>
    <mergeCell ref="C13:E13"/>
    <mergeCell ref="C23:E23"/>
    <mergeCell ref="C24:E24"/>
    <mergeCell ref="C17:E17"/>
    <mergeCell ref="C18:E18"/>
    <mergeCell ref="C19:E19"/>
    <mergeCell ref="C20:E20"/>
    <mergeCell ref="C21:E21"/>
    <mergeCell ref="C22:E22"/>
    <mergeCell ref="E5:J5"/>
    <mergeCell ref="F6:H6"/>
    <mergeCell ref="F7:H7"/>
    <mergeCell ref="F8:H8"/>
    <mergeCell ref="C16:E16"/>
    <mergeCell ref="C14:E14"/>
    <mergeCell ref="C15:E15"/>
    <mergeCell ref="B8:C8"/>
    <mergeCell ref="C10:E10"/>
    <mergeCell ref="C11:E11"/>
  </mergeCells>
  <hyperlinks>
    <hyperlink ref="I6" r:id="rId1" display="raraya@triogroup.cl"/>
  </hyperlink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7" activePane="bottomLeft" state="frozen"/>
      <selection pane="topLeft" activeCell="B1" sqref="B1"/>
      <selection pane="bottomLeft" activeCell="M100" sqref="M10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591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100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2015-03-18T13:50:14Z</cp:lastPrinted>
  <dcterms:created xsi:type="dcterms:W3CDTF">2013-07-12T05:01:37Z</dcterms:created>
  <dcterms:modified xsi:type="dcterms:W3CDTF">2015-03-18T21:32:29Z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