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<sst xmlns="http://schemas.openxmlformats.org/spreadsheetml/2006/main" count="870" uniqueCount="634">
  <si>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</si>
  <si>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</si>
  <si>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</si>
  <si>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</si>
  <si>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</si>
  <si>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</si>
  <si>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</si>
  <si>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</si>
  <si>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</si>
  <si>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</si>
  <si>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</si>
  <si>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</si>
  <si>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</si>
  <si>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</si>
  <si>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</si>
  <si>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</si>
  <si>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</si>
  <si>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</si>
  <si>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</si>
  <si>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</si>
  <si>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</si>
  <si>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</si>
  <si>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</si>
  <si>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</si>
  <si>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</si>
  <si>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</si>
  <si>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</si>
  <si>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</si>
  <si>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</si>
  <si>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</si>
  <si>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</si>
  <si>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</si>
  <si>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</si>
  <si>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</si>
  <si>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</si>
  <si>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</si>
  <si>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</si>
  <si>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</si>
  <si>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</si>
  <si>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</si>
  <si>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</si>
  <si>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</si>
  <si>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</si>
  <si>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</si>
  <si>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</si>
  <si>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</si>
  <si>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</si>
  <si>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</si>
  <si>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</si>
  <si>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</si>
  <si>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</si>
  <si>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</si>
  <si>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</si>
  <si>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</si>
  <si>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</si>
  <si>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</si>
  <si>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</si>
  <si>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</si>
  <si>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</si>
  <si>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</si>
  <si>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</si>
  <si>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</si>
  <si>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</si>
  <si>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</si>
  <si>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</si>
  <si>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</si>
  <si>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</si>
  <si>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</si>
  <si>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</si>
  <si>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</si>
  <si>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</si>
  <si>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</si>
  <si>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</si>
  <si>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</si>
  <si>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</si>
  <si>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</si>
  <si>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</si>
  <si>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</si>
  <si>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</si>
  <si>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</si>
  <si>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</si>
  <si>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</si>
  <si>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</si>
  <si>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</si>
  <si>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</si>
  <si>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</si>
  <si>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</si>
  <si>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</si>
  <si>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</si>
  <si>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</si>
  <si>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</si>
  <si>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</si>
  <si>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</si>
  <si>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</si>
  <si>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</si>
  <si>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</si>
  <si>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</si>
  <si>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</si>
  <si>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</si>
  <si>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</si>
  <si>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</si>
  <si>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</si>
  <si>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</si>
  <si>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</si>
  <si>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</si>
  <si>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</si>
  <si>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</si>
  <si>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</si>
  <si>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</si>
  <si>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</si>
  <si>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</si>
  <si>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</si>
  <si>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</si>
  <si>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</si>
  <si>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</si>
  <si>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</si>
  <si>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</si>
  <si>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</si>
  <si>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</si>
  <si>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</si>
  <si>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</si>
  <si>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</si>
  <si>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</si>
  <si>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</si>
  <si>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</si>
  <si>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</si>
  <si>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</si>
  <si>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</si>
  <si>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</si>
  <si>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</si>
  <si>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</si>
  <si>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</si>
  <si>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</si>
  <si>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</si>
  <si>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</si>
  <si>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</si>
  <si>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</si>
  <si>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</si>
  <si>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</si>
  <si>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</si>
  <si>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</si>
  <si>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</si>
  <si>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</si>
  <si>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</si>
  <si>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</si>
  <si>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</si>
  <si>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</si>
  <si>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</si>
  <si>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</si>
  <si>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</si>
  <si>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</si>
  <si>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</si>
  <si>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</si>
  <si>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</si>
  <si>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</si>
  <si>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</si>
  <si>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</si>
  <si>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</si>
  <si>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</si>
  <si>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</si>
  <si>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</si>
  <si>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</si>
  <si>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</si>
  <si>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</si>
  <si>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</si>
  <si>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</si>
  <si>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</si>
  <si>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</si>
  <si>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</si>
  <si>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</si>
  <si>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</si>
  <si>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</si>
  <si>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</si>
  <si>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</si>
  <si>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</si>
  <si>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</si>
  <si>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</si>
  <si>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</si>
  <si>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</si>
  <si>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</si>
  <si>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</si>
  <si>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</si>
  <si>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</si>
  <si>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</si>
  <si>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</si>
  <si>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</si>
  <si>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</si>
  <si>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</si>
  <si>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</si>
  <si>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</si>
  <si>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</si>
  <si>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</si>
  <si>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</si>
  <si>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</si>
  <si>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</si>
  <si>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</si>
  <si>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</si>
  <si>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</si>
  <si>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</si>
  <si>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</si>
  <si>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</si>
  <si>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</si>
  <si>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</si>
  <si>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</si>
  <si>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</si>
  <si>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</si>
  <si>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</si>
  <si>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</si>
  <si>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</si>
  <si>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</si>
  <si>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</si>
  <si>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</si>
  <si>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</si>
  <si>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</si>
  <si>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</si>
  <si>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</si>
  <si>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</si>
  <si>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</si>
  <si>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</si>
  <si>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</si>
  <si>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</si>
  <si>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</si>
  <si>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</si>
  <si>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</si>
  <si>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</si>
  <si>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</si>
  <si>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</si>
  <si>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</si>
  <si>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</si>
  <si>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</si>
  <si>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</si>
  <si>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</si>
  <si>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</si>
  <si>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</si>
  <si>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</si>
  <si>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</si>
  <si>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</si>
  <si>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</si>
  <si>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</si>
  <si>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</si>
  <si>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</si>
  <si>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</si>
  <si>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</si>
  <si>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</si>
  <si>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</si>
  <si>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</si>
  <si>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</si>
  <si>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</si>
  <si>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</si>
  <si>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</si>
  <si>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</si>
  <si>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</si>
  <si>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</si>
  <si>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</si>
  <si>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</si>
  <si>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</si>
  <si>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</si>
  <si>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</si>
  <si>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</si>
  <si>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</si>
  <si>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</si>
  <si>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</si>
  <si>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</si>
  <si>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</si>
  <si>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</si>
  <si>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</si>
  <si>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</si>
  <si>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</si>
  <si>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</si>
  <si>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</si>
  <si>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</si>
  <si>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</si>
  <si>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</si>
  <si>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</si>
  <si>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</si>
  <si>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</si>
  <si>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</si>
  <si>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</si>
  <si>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</si>
  <si>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</si>
  <si>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</si>
  <si>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</si>
  <si>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</si>
  <si>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</si>
  <si>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</si>
  <si>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</si>
  <si>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</si>
  <si>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</si>
  <si>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</si>
  <si>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</si>
  <si>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</si>
  <si>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</si>
  <si>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</si>
  <si>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</si>
  <si>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</si>
  <si>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</si>
  <si>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</si>
  <si>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</si>
  <si>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</si>
  <si>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</si>
  <si>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</si>
  <si>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</si>
  <si>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</si>
  <si>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</si>
  <si>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</si>
  <si>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</si>
  <si>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</si>
  <si>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</si>
  <si>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</si>
  <si>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</si>
  <si>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</si>
  <si>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</si>
  <si>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</si>
  <si>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</si>
  <si>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</si>
  <si>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</si>
  <si>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</si>
  <si>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</si>
  <si>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</si>
  <si>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</si>
  <si>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</si>
  <si>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</si>
  <si>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</si>
  <si>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</si>
  <si>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</si>
  <si>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</si>
  <si>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</si>
  <si>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</si>
  <si>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</si>
  <si>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</si>
  <si>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</si>
  <si>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</si>
  <si>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</si>
  <si>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</si>
  <si>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</si>
  <si>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</si>
  <si>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</si>
  <si>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</si>
  <si>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</si>
  <si>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</si>
  <si>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</si>
  <si>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</si>
  <si>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</si>
  <si>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</si>
  <si>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</si>
  <si>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</si>
  <si>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</si>
  <si>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</si>
  <si>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</si>
  <si>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</si>
  <si>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</si>
  <si>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</si>
  <si>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</si>
  <si>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</si>
  <si>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</si>
  <si>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</si>
  <si>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</si>
  <si>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</si>
  <si>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</si>
  <si>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</si>
  <si>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</si>
  <si>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</si>
  <si>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</si>
  <si>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</si>
  <si>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</si>
  <si>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</si>
  <si>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</si>
  <si>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</si>
  <si>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</si>
  <si>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</si>
  <si>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</si>
  <si>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</si>
  <si>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</si>
  <si>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</si>
  <si>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</si>
  <si>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</si>
  <si>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</si>
  <si>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</si>
  <si>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</si>
  <si>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</si>
  <si>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</si>
  <si>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</si>
  <si>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</si>
  <si>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</si>
  <si>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</si>
  <si>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</si>
  <si>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</si>
  <si>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</si>
  <si>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</si>
  <si>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</si>
  <si>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</si>
  <si>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</si>
  <si>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</si>
  <si>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</si>
  <si>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</si>
  <si>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</si>
  <si>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</si>
  <si>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</si>
  <si>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</si>
  <si>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</si>
  <si>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</si>
  <si>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</si>
  <si>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</si>
  <si>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</si>
  <si>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</si>
  <si>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</si>
  <si>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</si>
  <si>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</si>
  <si>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</si>
  <si>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</si>
  <si>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</si>
  <si>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</si>
  <si>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</si>
  <si>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</si>
  <si>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</si>
  <si>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</si>
  <si>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</si>
  <si>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</si>
  <si>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</si>
  <si>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</si>
  <si>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</si>
  <si>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</si>
  <si>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</si>
  <si>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</si>
  <si>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</si>
  <si>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</si>
  <si>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</si>
  <si>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</si>
  <si>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</si>
  <si>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</si>
  <si>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</si>
  <si>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</si>
  <si>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</si>
  <si>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</si>
  <si>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</si>
  <si>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</si>
  <si>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</si>
  <si>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</si>
  <si>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</si>
  <si>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</si>
  <si>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</si>
  <si>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</si>
  <si>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</si>
  <si>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</si>
  <si>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</si>
  <si>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</si>
  <si>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</si>
  <si>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</si>
  <si>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</si>
  <si>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</si>
  <si>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</si>
  <si>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</si>
  <si>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</si>
  <si>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</si>
  <si>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</si>
  <si>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</si>
  <si>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</si>
  <si>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</si>
  <si>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</si>
  <si>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</si>
  <si>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</si>
  <si>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</si>
  <si>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</si>
  <si>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</si>
  <si>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</si>
  <si>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</si>
  <si>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</si>
  <si>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</si>
  <si>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</si>
  <si>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</si>
  <si>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</si>
  <si>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</si>
  <si>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</si>
  <si>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</si>
  <si>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</si>
  <si>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</si>
  <si>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</si>
  <si>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</si>
  <si>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</si>
  <si>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</si>
  <si>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</si>
  <si>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</si>
  <si>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</si>
  <si>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</si>
  <si>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</si>
  <si>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</si>
  <si>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</si>
  <si>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</si>
  <si>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</si>
  <si>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</si>
  <si>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</si>
  <si>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</si>
  <si>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</si>
  <si>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</si>
  <si>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</si>
  <si>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</si>
  <si>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</si>
  <si>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</si>
  <si>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</si>
  <si>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</si>
  <si>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</si>
  <si>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</si>
  <si>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</si>
  <si>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</si>
  <si>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</si>
  <si>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</si>
  <si>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</si>
  <si>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</si>
  <si>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</si>
  <si>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</si>
  <si>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</si>
  <si>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</si>
  <si>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</si>
  <si>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</si>
  <si>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</si>
  <si>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</si>
  <si>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</si>
  <si>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</si>
  <si>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</si>
  <si>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</si>
  <si>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</si>
  <si>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</si>
  <si>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</si>
  <si>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</si>
  <si>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</si>
  <si>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</si>
  <si>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</si>
  <si>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</si>
  <si>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</si>
  <si>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</si>
  <si>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</si>
  <si>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</si>
  <si>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</si>
  <si>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</si>
  <si>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</si>
  <si>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</si>
  <si>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</si>
  <si>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</si>
  <si>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</si>
  <si>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</si>
  <si>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</si>
  <si>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</si>
  <si>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</si>
  <si>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</si>
  <si>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</si>
  <si>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</si>
  <si>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</si>
  <si>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</si>
  <si>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</si>
  <si>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</si>
  <si>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</si>
  <si>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</si>
  <si>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</si>
  <si>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</si>
  <si>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</si>
  <si>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</si>
  <si>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</si>
  <si>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</si>
  <si>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</si>
  <si>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</si>
  <si>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</si>
  <si>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</si>
  <si>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</si>
  <si>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</si>
  <si>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</si>
  <si>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</si>
  <si>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</si>
  <si>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</si>
  <si>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</si>
  <si>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</si>
  <si>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</si>
  <si>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</si>
  <si>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</si>
  <si>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</si>
  <si>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</si>
  <si>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</si>
  <si>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</si>
  <si>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</si>
  <si>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</si>
  <si>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</si>
  <si>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nuevo fima</t>
  </si>
  <si>
    <t>99.595.100-2</t>
  </si>
  <si>
    <t>Av. Eduardo Frei Montalva 5325</t>
  </si>
  <si>
    <t>Conchali</t>
  </si>
  <si>
    <t>stgo</t>
  </si>
  <si>
    <t>SERVICIOS LUCAS DIESEL S.A.</t>
  </si>
  <si>
    <t>costo</t>
  </si>
  <si>
    <t>venta</t>
  </si>
  <si>
    <t>Rodrigo Rojas</t>
  </si>
  <si>
    <t>GASTOS REALES</t>
  </si>
  <si>
    <t>58,5 K</t>
  </si>
  <si>
    <t>jozkal</t>
  </si>
  <si>
    <t>45 K</t>
  </si>
  <si>
    <t>miranda</t>
  </si>
  <si>
    <t>cembras</t>
  </si>
  <si>
    <t>flaco</t>
  </si>
  <si>
    <t>comision vende</t>
  </si>
  <si>
    <t>pago x pieza</t>
  </si>
  <si>
    <t>78 k</t>
  </si>
  <si>
    <t>material (N barras)</t>
  </si>
  <si>
    <t>N° barras</t>
  </si>
  <si>
    <t>40 k</t>
  </si>
  <si>
    <t>comercial lillo</t>
  </si>
  <si>
    <t>40.2 K</t>
  </si>
  <si>
    <t>13.5 k</t>
  </si>
  <si>
    <t>TEORICO</t>
  </si>
  <si>
    <t>PAGO MATERIAL</t>
  </si>
  <si>
    <t>COMISION</t>
  </si>
  <si>
    <t>COMERC</t>
  </si>
  <si>
    <t>MATERIALES</t>
  </si>
  <si>
    <t>MANO OBRA</t>
  </si>
  <si>
    <t>COMIS VENDE</t>
  </si>
  <si>
    <t>PERD</t>
  </si>
  <si>
    <t>moises y Claudio</t>
  </si>
  <si>
    <t>pago salomon</t>
  </si>
  <si>
    <t>rrojas@lucasdiesel.cl</t>
  </si>
  <si>
    <t>30 DÍAS</t>
  </si>
  <si>
    <t>CLAUDIA RIVERA</t>
  </si>
  <si>
    <t>1111111111-1</t>
  </si>
  <si>
    <t>RENAULT</t>
  </si>
  <si>
    <t>CORMECANICA  SAN  RAFAEL 1769</t>
  </si>
  <si>
    <t>LOS  ANDES</t>
  </si>
  <si>
    <t>JOSE  LUIS  ROJAS</t>
  </si>
  <si>
    <t>34-2-499152</t>
  </si>
  <si>
    <t>LOS ANDES</t>
  </si>
  <si>
    <t>REPUESTOS</t>
  </si>
  <si>
    <t>ESCOBILLA  PEN -6/16T(PARA BAÑO DE ACEITE)</t>
  </si>
  <si>
    <t>ESCOBILLA  PEN -6/16G(PARA TRABAJO EN SECO)</t>
  </si>
  <si>
    <t>ESCOBILLA PEL-6/16T(PARA BAÑO DE ACEITE)</t>
  </si>
  <si>
    <t>ESCOBILLA PEL-6/16G(PARA TRABAJO EN SECO)</t>
  </si>
  <si>
    <t>PLAZO ENTREGA 2 SEMANAS</t>
  </si>
  <si>
    <t xml:space="preserve">En el caso de las PEL,  informar cual es el largo “L” que necesita. </t>
  </si>
  <si>
    <t>rozantes del embrague</t>
  </si>
  <si>
    <t xml:space="preserve">El largo"L" es desde la base de la tuerca de la escobilla hasta los anillos 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</si>
</sst>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</numFmts>
  <fonts count="32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u val="single"/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0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6" fillId="7" borderId="1" applyNumberFormat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3" fillId="24" borderId="11" xfId="0" applyFont="1" applyFill="1" applyBorder="1" applyAlignment="1" applyProtection="1">
      <alignment vertical="top" wrapText="1"/>
      <protection locked="0"/>
    </xf>
    <xf numFmtId="0" fontId="3" fillId="24" borderId="11" xfId="0" applyFont="1" applyFill="1" applyBorder="1" applyAlignment="1" applyProtection="1">
      <alignment horizontal="center" vertical="top" wrapText="1"/>
      <protection locked="0"/>
    </xf>
    <xf numFmtId="0" fontId="3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4" fillId="24" borderId="14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 horizontal="left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172" fontId="4" fillId="24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4" fillId="24" borderId="24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24" borderId="10" xfId="0" applyFont="1" applyFill="1" applyBorder="1" applyAlignment="1" applyProtection="1">
      <alignment/>
      <protection locked="0"/>
    </xf>
    <xf numFmtId="0" fontId="7" fillId="24" borderId="11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 applyProtection="1">
      <alignment/>
      <protection locked="0"/>
    </xf>
    <xf numFmtId="0" fontId="9" fillId="24" borderId="14" xfId="0" applyFont="1" applyFill="1" applyBorder="1" applyAlignment="1" applyProtection="1">
      <alignment/>
      <protection locked="0"/>
    </xf>
    <xf numFmtId="0" fontId="9" fillId="24" borderId="0" xfId="0" applyFont="1" applyFill="1" applyBorder="1" applyAlignment="1" applyProtection="1">
      <alignment/>
      <protection locked="0"/>
    </xf>
    <xf numFmtId="0" fontId="9" fillId="24" borderId="15" xfId="0" applyFont="1" applyFill="1" applyBorder="1" applyAlignment="1" applyProtection="1">
      <alignment/>
      <protection locked="0"/>
    </xf>
    <xf numFmtId="0" fontId="9" fillId="24" borderId="25" xfId="0" applyFont="1" applyFill="1" applyBorder="1" applyAlignment="1" applyProtection="1">
      <alignment/>
      <protection locked="0"/>
    </xf>
    <xf numFmtId="0" fontId="9" fillId="24" borderId="26" xfId="0" applyFont="1" applyFill="1" applyBorder="1" applyAlignment="1" applyProtection="1">
      <alignment/>
      <protection locked="0"/>
    </xf>
    <xf numFmtId="0" fontId="9" fillId="24" borderId="24" xfId="0" applyFont="1" applyFill="1" applyBorder="1" applyAlignment="1" applyProtection="1">
      <alignment/>
      <protection locked="0"/>
    </xf>
    <xf numFmtId="0" fontId="9" fillId="24" borderId="27" xfId="0" applyFont="1" applyFill="1" applyBorder="1" applyAlignment="1" applyProtection="1">
      <alignment/>
      <protection locked="0"/>
    </xf>
    <xf numFmtId="0" fontId="10" fillId="24" borderId="10" xfId="0" applyFont="1" applyFill="1" applyBorder="1" applyAlignment="1" applyProtection="1">
      <alignment/>
      <protection locked="0"/>
    </xf>
    <xf numFmtId="0" fontId="7" fillId="24" borderId="12" xfId="0" applyFont="1" applyFill="1" applyBorder="1" applyAlignment="1" applyProtection="1">
      <alignment/>
      <protection locked="0"/>
    </xf>
    <xf numFmtId="0" fontId="7" fillId="24" borderId="28" xfId="0" applyFont="1" applyFill="1" applyBorder="1" applyAlignment="1" applyProtection="1">
      <alignment horizontal="right" vertical="center"/>
      <protection locked="0"/>
    </xf>
    <xf numFmtId="0" fontId="7" fillId="24" borderId="11" xfId="0" applyFont="1" applyFill="1" applyBorder="1" applyAlignment="1" applyProtection="1">
      <alignment horizontal="right" vertical="center"/>
      <protection locked="0"/>
    </xf>
    <xf numFmtId="0" fontId="7" fillId="24" borderId="29" xfId="0" applyFont="1" applyFill="1" applyBorder="1" applyAlignment="1" applyProtection="1">
      <alignment horizontal="right"/>
      <protection locked="0"/>
    </xf>
    <xf numFmtId="1" fontId="7" fillId="24" borderId="30" xfId="0" applyNumberFormat="1" applyFont="1" applyFill="1" applyBorder="1" applyAlignment="1" applyProtection="1">
      <alignment horizontal="center"/>
      <protection/>
    </xf>
    <xf numFmtId="0" fontId="7" fillId="24" borderId="14" xfId="0" applyFont="1" applyFill="1" applyBorder="1" applyAlignment="1" applyProtection="1">
      <alignment horizontal="right" vertical="center"/>
      <protection locked="0"/>
    </xf>
    <xf numFmtId="0" fontId="7" fillId="24" borderId="0" xfId="0" applyFont="1" applyFill="1" applyBorder="1" applyAlignment="1" applyProtection="1">
      <alignment horizontal="right" vertical="center"/>
      <protection locked="0"/>
    </xf>
    <xf numFmtId="0" fontId="7" fillId="24" borderId="0" xfId="0" applyFont="1" applyFill="1" applyBorder="1" applyAlignment="1" applyProtection="1">
      <alignment horizontal="left" vertical="center"/>
      <protection locked="0"/>
    </xf>
    <xf numFmtId="0" fontId="7" fillId="24" borderId="15" xfId="0" applyFont="1" applyFill="1" applyBorder="1" applyAlignment="1" applyProtection="1">
      <alignment horizontal="right"/>
      <protection locked="0"/>
    </xf>
    <xf numFmtId="9" fontId="7" fillId="24" borderId="31" xfId="0" applyNumberFormat="1" applyFont="1" applyFill="1" applyBorder="1" applyAlignment="1" applyProtection="1">
      <alignment horizontal="right" vertical="center"/>
      <protection locked="0"/>
    </xf>
    <xf numFmtId="9" fontId="7" fillId="24" borderId="0" xfId="0" applyNumberFormat="1" applyFont="1" applyFill="1" applyBorder="1" applyAlignment="1" applyProtection="1">
      <alignment horizontal="right" vertical="center"/>
      <protection locked="0"/>
    </xf>
    <xf numFmtId="9" fontId="7" fillId="24" borderId="19" xfId="0" applyNumberFormat="1" applyFont="1" applyFill="1" applyBorder="1" applyAlignment="1" applyProtection="1">
      <alignment horizontal="center" vertical="center"/>
      <protection locked="0"/>
    </xf>
    <xf numFmtId="1" fontId="7" fillId="24" borderId="32" xfId="0" applyNumberFormat="1" applyFont="1" applyFill="1" applyBorder="1" applyAlignment="1" applyProtection="1">
      <alignment horizontal="center"/>
      <protection/>
    </xf>
    <xf numFmtId="0" fontId="7" fillId="24" borderId="31" xfId="0" applyFont="1" applyFill="1" applyBorder="1" applyAlignment="1" applyProtection="1">
      <alignment horizontal="right" vertical="center"/>
      <protection locked="0"/>
    </xf>
    <xf numFmtId="0" fontId="7" fillId="24" borderId="19" xfId="0" applyFont="1" applyFill="1" applyBorder="1" applyAlignment="1" applyProtection="1">
      <alignment horizontal="right"/>
      <protection locked="0"/>
    </xf>
    <xf numFmtId="0" fontId="7" fillId="24" borderId="33" xfId="0" applyFont="1" applyFill="1" applyBorder="1" applyAlignment="1" applyProtection="1">
      <alignment horizontal="right" vertical="center"/>
      <protection locked="0"/>
    </xf>
    <xf numFmtId="0" fontId="7" fillId="24" borderId="24" xfId="0" applyFont="1" applyFill="1" applyBorder="1" applyAlignment="1" applyProtection="1">
      <alignment horizontal="right" vertical="center"/>
      <protection locked="0"/>
    </xf>
    <xf numFmtId="0" fontId="7" fillId="24" borderId="34" xfId="0" applyFont="1" applyFill="1" applyBorder="1" applyAlignment="1" applyProtection="1">
      <alignment horizontal="right"/>
      <protection locked="0"/>
    </xf>
    <xf numFmtId="1" fontId="7" fillId="24" borderId="35" xfId="0" applyNumberFormat="1" applyFont="1" applyFill="1" applyBorder="1" applyAlignment="1" applyProtection="1">
      <alignment horizontal="center"/>
      <protection/>
    </xf>
    <xf numFmtId="173" fontId="11" fillId="0" borderId="13" xfId="45" applyNumberFormat="1" applyFont="1" applyFill="1" applyBorder="1" applyAlignment="1" applyProtection="1">
      <alignment horizontal="center" vertical="center"/>
      <protection locked="0"/>
    </xf>
    <xf numFmtId="174" fontId="7" fillId="24" borderId="25" xfId="0" applyNumberFormat="1" applyFont="1" applyFill="1" applyBorder="1" applyAlignment="1" applyProtection="1">
      <alignment horizontal="center"/>
      <protection/>
    </xf>
    <xf numFmtId="174" fontId="7" fillId="24" borderId="25" xfId="0" applyNumberFormat="1" applyFont="1" applyFill="1" applyBorder="1" applyAlignment="1" applyProtection="1">
      <alignment horizontal="center"/>
      <protection locked="0"/>
    </xf>
    <xf numFmtId="174" fontId="7" fillId="24" borderId="15" xfId="0" applyNumberFormat="1" applyFont="1" applyFill="1" applyBorder="1" applyAlignment="1" applyProtection="1">
      <alignment horizontal="center"/>
      <protection/>
    </xf>
    <xf numFmtId="174" fontId="7" fillId="24" borderId="36" xfId="0" applyNumberFormat="1" applyFont="1" applyFill="1" applyBorder="1" applyAlignment="1" applyProtection="1">
      <alignment horizontal="center"/>
      <protection/>
    </xf>
    <xf numFmtId="174" fontId="7" fillId="24" borderId="36" xfId="0" applyNumberFormat="1" applyFont="1" applyFill="1" applyBorder="1" applyAlignment="1" applyProtection="1">
      <alignment horizontal="center"/>
      <protection locked="0"/>
    </xf>
    <xf numFmtId="174" fontId="7" fillId="24" borderId="27" xfId="0" applyNumberFormat="1" applyFont="1" applyFill="1" applyBorder="1" applyAlignment="1" applyProtection="1">
      <alignment horizontal="center"/>
      <protection/>
    </xf>
    <xf numFmtId="0" fontId="9" fillId="24" borderId="15" xfId="0" applyFont="1" applyFill="1" applyBorder="1" applyAlignment="1" applyProtection="1">
      <alignment horizontal="center"/>
      <protection locked="0"/>
    </xf>
    <xf numFmtId="0" fontId="10" fillId="24" borderId="0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24" borderId="14" xfId="0" applyFont="1" applyFill="1" applyBorder="1" applyAlignment="1" applyProtection="1">
      <alignment/>
      <protection locked="0"/>
    </xf>
    <xf numFmtId="0" fontId="13" fillId="24" borderId="0" xfId="0" applyFont="1" applyFill="1" applyBorder="1" applyAlignment="1" applyProtection="1">
      <alignment/>
      <protection locked="0"/>
    </xf>
    <xf numFmtId="0" fontId="12" fillId="24" borderId="0" xfId="0" applyFont="1" applyFill="1" applyBorder="1" applyAlignment="1" applyProtection="1">
      <alignment horizontal="left"/>
      <protection locked="0"/>
    </xf>
    <xf numFmtId="0" fontId="12" fillId="24" borderId="0" xfId="0" applyFont="1" applyFill="1" applyBorder="1" applyAlignment="1" applyProtection="1">
      <alignment horizontal="left"/>
      <protection/>
    </xf>
    <xf numFmtId="174" fontId="12" fillId="0" borderId="0" xfId="0" applyNumberFormat="1" applyFont="1" applyFill="1" applyBorder="1" applyAlignment="1" applyProtection="1">
      <alignment/>
      <protection/>
    </xf>
    <xf numFmtId="0" fontId="12" fillId="24" borderId="15" xfId="45" applyFont="1" applyFill="1" applyBorder="1" applyAlignment="1" applyProtection="1">
      <alignment horizontal="left"/>
      <protection/>
    </xf>
    <xf numFmtId="174" fontId="12" fillId="24" borderId="15" xfId="0" applyNumberFormat="1" applyFont="1" applyFill="1" applyBorder="1" applyAlignment="1" applyProtection="1">
      <alignment horizontal="left"/>
      <protection/>
    </xf>
    <xf numFmtId="172" fontId="12" fillId="24" borderId="15" xfId="0" applyNumberFormat="1" applyFont="1" applyFill="1" applyBorder="1" applyAlignment="1" applyProtection="1">
      <alignment horizontal="left" vertical="center"/>
      <protection/>
    </xf>
    <xf numFmtId="0" fontId="13" fillId="24" borderId="26" xfId="0" applyFont="1" applyFill="1" applyBorder="1" applyAlignment="1" applyProtection="1">
      <alignment/>
      <protection locked="0"/>
    </xf>
    <xf numFmtId="0" fontId="13" fillId="24" borderId="24" xfId="0" applyFont="1" applyFill="1" applyBorder="1" applyAlignment="1" applyProtection="1">
      <alignment/>
      <protection locked="0"/>
    </xf>
    <xf numFmtId="0" fontId="12" fillId="24" borderId="24" xfId="0" applyFont="1" applyFill="1" applyBorder="1" applyAlignment="1" applyProtection="1">
      <alignment/>
      <protection locked="0"/>
    </xf>
    <xf numFmtId="172" fontId="12" fillId="24" borderId="27" xfId="0" applyNumberFormat="1" applyFont="1" applyFill="1" applyBorder="1" applyAlignment="1" applyProtection="1">
      <alignment horizontal="left" vertical="center"/>
      <protection locked="0"/>
    </xf>
    <xf numFmtId="0" fontId="13" fillId="0" borderId="37" xfId="0" applyFont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 horizontal="center"/>
      <protection locked="0"/>
    </xf>
    <xf numFmtId="0" fontId="13" fillId="0" borderId="38" xfId="0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13" fillId="24" borderId="10" xfId="0" applyNumberFormat="1" applyFont="1" applyFill="1" applyBorder="1" applyAlignment="1" applyProtection="1">
      <alignment horizontal="center"/>
      <protection locked="0"/>
    </xf>
    <xf numFmtId="0" fontId="13" fillId="24" borderId="12" xfId="0" applyFont="1" applyFill="1" applyBorder="1" applyAlignment="1" applyProtection="1">
      <alignment horizontal="center"/>
      <protection locked="0"/>
    </xf>
    <xf numFmtId="0" fontId="13" fillId="24" borderId="37" xfId="0" applyFont="1" applyFill="1" applyBorder="1" applyAlignment="1" applyProtection="1">
      <alignment/>
      <protection locked="0"/>
    </xf>
    <xf numFmtId="174" fontId="13" fillId="24" borderId="37" xfId="0" applyNumberFormat="1" applyFont="1" applyFill="1" applyBorder="1" applyAlignment="1" applyProtection="1">
      <alignment horizontal="center"/>
      <protection/>
    </xf>
    <xf numFmtId="174" fontId="13" fillId="24" borderId="37" xfId="0" applyNumberFormat="1" applyFont="1" applyFill="1" applyBorder="1" applyAlignment="1" applyProtection="1">
      <alignment horizontal="center"/>
      <protection locked="0"/>
    </xf>
    <xf numFmtId="174" fontId="13" fillId="24" borderId="12" xfId="0" applyNumberFormat="1" applyFont="1" applyFill="1" applyBorder="1" applyAlignment="1" applyProtection="1">
      <alignment horizontal="center"/>
      <protection/>
    </xf>
    <xf numFmtId="0" fontId="13" fillId="24" borderId="14" xfId="0" applyNumberFormat="1" applyFont="1" applyFill="1" applyBorder="1" applyAlignment="1" applyProtection="1">
      <alignment horizontal="center"/>
      <protection locked="0"/>
    </xf>
    <xf numFmtId="0" fontId="13" fillId="24" borderId="15" xfId="0" applyFont="1" applyFill="1" applyBorder="1" applyAlignment="1" applyProtection="1">
      <alignment horizontal="center"/>
      <protection locked="0"/>
    </xf>
    <xf numFmtId="0" fontId="13" fillId="24" borderId="25" xfId="0" applyFont="1" applyFill="1" applyBorder="1" applyAlignment="1" applyProtection="1">
      <alignment/>
      <protection locked="0"/>
    </xf>
    <xf numFmtId="174" fontId="13" fillId="24" borderId="25" xfId="0" applyNumberFormat="1" applyFont="1" applyFill="1" applyBorder="1" applyAlignment="1" applyProtection="1">
      <alignment horizontal="center"/>
      <protection/>
    </xf>
    <xf numFmtId="174" fontId="13" fillId="24" borderId="25" xfId="0" applyNumberFormat="1" applyFont="1" applyFill="1" applyBorder="1" applyAlignment="1" applyProtection="1">
      <alignment horizontal="center"/>
      <protection locked="0"/>
    </xf>
    <xf numFmtId="174" fontId="13" fillId="24" borderId="15" xfId="0" applyNumberFormat="1" applyFont="1" applyFill="1" applyBorder="1" applyAlignment="1" applyProtection="1">
      <alignment horizontal="center"/>
      <protection/>
    </xf>
    <xf numFmtId="0" fontId="14" fillId="24" borderId="14" xfId="0" applyNumberFormat="1" applyFont="1" applyFill="1" applyBorder="1" applyAlignment="1" applyProtection="1">
      <alignment horizontal="center"/>
      <protection locked="0"/>
    </xf>
    <xf numFmtId="43" fontId="0" fillId="0" borderId="0" xfId="47" applyFont="1" applyAlignment="1" applyProtection="1">
      <alignment/>
      <protection locked="0"/>
    </xf>
    <xf numFmtId="43" fontId="4" fillId="0" borderId="0" xfId="47" applyFont="1" applyFill="1" applyBorder="1" applyAlignment="1" applyProtection="1">
      <alignment horizontal="center"/>
      <protection locked="0"/>
    </xf>
    <xf numFmtId="43" fontId="6" fillId="0" borderId="0" xfId="47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9" fontId="0" fillId="0" borderId="0" xfId="54" applyFont="1" applyAlignment="1" applyProtection="1">
      <alignment/>
      <protection locked="0"/>
    </xf>
    <xf numFmtId="0" fontId="0" fillId="25" borderId="0" xfId="0" applyFill="1" applyAlignment="1" applyProtection="1">
      <alignment/>
      <protection locked="0"/>
    </xf>
    <xf numFmtId="0" fontId="2" fillId="0" borderId="0" xfId="45" applyAlignment="1">
      <alignment/>
    </xf>
    <xf numFmtId="0" fontId="13" fillId="24" borderId="14" xfId="0" applyFont="1" applyFill="1" applyBorder="1" applyAlignment="1" applyProtection="1">
      <alignment horizontal="left"/>
      <protection locked="0"/>
    </xf>
    <xf numFmtId="0" fontId="13" fillId="24" borderId="0" xfId="0" applyFont="1" applyFill="1" applyBorder="1" applyAlignment="1" applyProtection="1">
      <alignment horizontal="left"/>
      <protection locked="0"/>
    </xf>
    <xf numFmtId="174" fontId="12" fillId="24" borderId="0" xfId="0" applyNumberFormat="1" applyFont="1" applyFill="1" applyBorder="1" applyAlignment="1" applyProtection="1">
      <alignment horizontal="left"/>
      <protection/>
    </xf>
    <xf numFmtId="174" fontId="12" fillId="24" borderId="15" xfId="0" applyNumberFormat="1" applyFont="1" applyFill="1" applyBorder="1" applyAlignment="1" applyProtection="1">
      <alignment horizontal="left"/>
      <protection/>
    </xf>
    <xf numFmtId="0" fontId="9" fillId="24" borderId="14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13" fillId="24" borderId="1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  <xf numFmtId="174" fontId="12" fillId="24" borderId="12" xfId="0" applyNumberFormat="1" applyFont="1" applyFill="1" applyBorder="1" applyAlignment="1" applyProtection="1">
      <alignment horizontal="left"/>
      <protection/>
    </xf>
    <xf numFmtId="0" fontId="31" fillId="24" borderId="14" xfId="0" applyFont="1" applyFill="1" applyBorder="1" applyAlignment="1" applyProtection="1">
      <alignment/>
      <protection locked="0"/>
    </xf>
    <xf numFmtId="0" fontId="31" fillId="24" borderId="0" xfId="0" applyFont="1" applyFill="1" applyBorder="1" applyAlignment="1" applyProtection="1">
      <alignment/>
      <protection locked="0"/>
    </xf>
    <xf numFmtId="0" fontId="31" fillId="24" borderId="15" xfId="0" applyFont="1" applyFill="1" applyBorder="1" applyAlignment="1" applyProtection="1">
      <alignment/>
      <protection locked="0"/>
    </xf>
    <xf numFmtId="0" fontId="31" fillId="24" borderId="15" xfId="0" applyFont="1" applyFill="1" applyBorder="1" applyAlignment="1" applyProtection="1">
      <alignment horizontal="right"/>
      <protection locked="0"/>
    </xf>
    <xf numFmtId="0" fontId="31" fillId="24" borderId="26" xfId="0" applyFont="1" applyFill="1" applyBorder="1" applyAlignment="1" applyProtection="1">
      <alignment/>
      <protection locked="0"/>
    </xf>
    <xf numFmtId="0" fontId="31" fillId="24" borderId="24" xfId="0" applyFont="1" applyFill="1" applyBorder="1" applyAlignment="1" applyProtection="1">
      <alignment/>
      <protection locked="0"/>
    </xf>
    <xf numFmtId="0" fontId="31" fillId="24" borderId="27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E35"/>
  <sheetViews>
    <sheetView tabSelected="1" zoomScalePageLayoutView="0" workbookViewId="0" topLeftCell="A1">
      <selection activeCell="H11" sqref="H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28125" style="8" customWidth="1"/>
    <col min="12" max="12" width="8.57421875" style="8" customWidth="1"/>
    <col min="13" max="13" width="8.28125" style="8" customWidth="1"/>
    <col min="14" max="14" width="10.00390625" style="109" customWidth="1"/>
    <col min="15" max="15" width="7.421875" style="8" customWidth="1"/>
    <col min="16" max="16" width="4.421875" style="8" customWidth="1"/>
    <col min="17" max="29" width="11.421875" style="8" customWidth="1"/>
    <col min="30" max="30" width="0" style="8" hidden="1" customWidth="1"/>
    <col min="31" max="31" width="11.57421875" style="8" hidden="1" customWidth="1"/>
    <col min="32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9">
        <v>1829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 t="s">
        <v>618</v>
      </c>
      <c r="D4" s="78"/>
      <c r="E4" s="38" t="s">
        <v>12</v>
      </c>
      <c r="F4" s="39"/>
      <c r="G4" s="39"/>
      <c r="H4" s="40"/>
      <c r="I4" s="38" t="s">
        <v>9</v>
      </c>
      <c r="J4" s="130" t="s">
        <v>623</v>
      </c>
      <c r="K4" s="20"/>
    </row>
    <row r="5" spans="2:11" ht="15">
      <c r="B5" s="79"/>
      <c r="C5" s="80"/>
      <c r="D5" s="81"/>
      <c r="E5" s="119" t="s">
        <v>620</v>
      </c>
      <c r="F5" s="119"/>
      <c r="G5" s="119"/>
      <c r="H5" s="119"/>
      <c r="I5" s="119"/>
      <c r="J5" s="120"/>
      <c r="K5" s="20"/>
    </row>
    <row r="6" spans="2:10" ht="17.25" customHeight="1">
      <c r="B6" s="79" t="s">
        <v>27</v>
      </c>
      <c r="C6" s="80" t="s">
        <v>619</v>
      </c>
      <c r="D6" s="82"/>
      <c r="E6" s="80" t="s">
        <v>7</v>
      </c>
      <c r="F6" s="119" t="s">
        <v>621</v>
      </c>
      <c r="G6" s="119"/>
      <c r="H6" s="119"/>
      <c r="I6" s="83"/>
      <c r="J6" s="84"/>
    </row>
    <row r="7" spans="2:10" ht="15">
      <c r="B7" s="79" t="s">
        <v>25</v>
      </c>
      <c r="C7" s="80" t="s">
        <v>625</v>
      </c>
      <c r="D7" s="82"/>
      <c r="E7" s="80" t="s">
        <v>8</v>
      </c>
      <c r="F7" s="119" t="s">
        <v>624</v>
      </c>
      <c r="G7" s="119"/>
      <c r="H7" s="119"/>
      <c r="I7" s="80" t="s">
        <v>26</v>
      </c>
      <c r="J7" s="85" t="s">
        <v>622</v>
      </c>
    </row>
    <row r="8" spans="2:12" ht="15.75" thickBot="1">
      <c r="B8" s="117" t="s">
        <v>28</v>
      </c>
      <c r="C8" s="118"/>
      <c r="D8" s="82" t="s">
        <v>616</v>
      </c>
      <c r="E8" s="80" t="s">
        <v>11</v>
      </c>
      <c r="F8" s="119" t="s">
        <v>617</v>
      </c>
      <c r="G8" s="119"/>
      <c r="H8" s="119"/>
      <c r="I8" s="80" t="s">
        <v>14</v>
      </c>
      <c r="J8" s="86">
        <f ca="1">TODAY()</f>
        <v>41830</v>
      </c>
      <c r="K8" s="20"/>
      <c r="L8" s="20"/>
    </row>
    <row r="9" spans="2:25" ht="16.5" thickBot="1" thickTop="1">
      <c r="B9" s="87"/>
      <c r="C9" s="88"/>
      <c r="D9" s="89"/>
      <c r="E9" s="88"/>
      <c r="F9" s="89"/>
      <c r="G9" s="89"/>
      <c r="H9" s="89"/>
      <c r="I9" s="88"/>
      <c r="J9" s="90"/>
      <c r="K9" s="20"/>
      <c r="L9" s="20"/>
      <c r="P9" s="21"/>
      <c r="Q9" s="22" t="s">
        <v>21</v>
      </c>
      <c r="R9" s="23" t="s">
        <v>22</v>
      </c>
      <c r="Y9" s="8" t="s">
        <v>605</v>
      </c>
    </row>
    <row r="10" spans="2:31" ht="15.75" thickBot="1">
      <c r="B10" s="91" t="s">
        <v>1</v>
      </c>
      <c r="C10" s="124" t="s">
        <v>24</v>
      </c>
      <c r="D10" s="125"/>
      <c r="E10" s="126"/>
      <c r="F10" s="92" t="s">
        <v>0</v>
      </c>
      <c r="G10" s="93" t="s">
        <v>23</v>
      </c>
      <c r="H10" s="93" t="s">
        <v>15</v>
      </c>
      <c r="I10" s="94" t="s">
        <v>13</v>
      </c>
      <c r="J10" s="95" t="s">
        <v>2</v>
      </c>
      <c r="K10" s="24" t="s">
        <v>18</v>
      </c>
      <c r="L10" s="25" t="s">
        <v>587</v>
      </c>
      <c r="M10" s="25" t="s">
        <v>586</v>
      </c>
      <c r="N10" s="110"/>
      <c r="O10" s="25"/>
      <c r="P10" s="26" t="s">
        <v>16</v>
      </c>
      <c r="Q10" s="25" t="s">
        <v>19</v>
      </c>
      <c r="R10" s="27" t="s">
        <v>20</v>
      </c>
      <c r="X10" s="8" t="s">
        <v>599</v>
      </c>
      <c r="Y10" s="8" t="s">
        <v>606</v>
      </c>
      <c r="Z10" s="8" t="s">
        <v>597</v>
      </c>
      <c r="AA10" s="8" t="s">
        <v>607</v>
      </c>
      <c r="AB10" s="8" t="s">
        <v>608</v>
      </c>
      <c r="AD10" s="115" t="s">
        <v>597</v>
      </c>
      <c r="AE10" s="8" t="s">
        <v>614</v>
      </c>
    </row>
    <row r="11" spans="2:31" ht="15">
      <c r="B11" s="96">
        <v>1</v>
      </c>
      <c r="C11" s="127" t="s">
        <v>626</v>
      </c>
      <c r="D11" s="125"/>
      <c r="E11" s="126"/>
      <c r="F11" s="97">
        <v>5</v>
      </c>
      <c r="G11" s="98" t="s">
        <v>23</v>
      </c>
      <c r="H11" s="99">
        <v>115800</v>
      </c>
      <c r="I11" s="100">
        <v>0</v>
      </c>
      <c r="J11" s="101">
        <f aca="true" t="shared" si="0" ref="J11:J28">F11*H11*(1-I11/100)</f>
        <v>579000</v>
      </c>
      <c r="K11" s="28">
        <v>1</v>
      </c>
      <c r="L11" s="29"/>
      <c r="M11" s="29"/>
      <c r="N11" s="111" t="e">
        <f>L11/M11</f>
        <v>#DIV/0!</v>
      </c>
      <c r="O11" s="29"/>
      <c r="P11" s="30">
        <v>1</v>
      </c>
      <c r="Q11" s="31">
        <f>+L11</f>
        <v>0</v>
      </c>
      <c r="R11" s="35">
        <f>Q11*P11</f>
        <v>0</v>
      </c>
      <c r="S11" s="8">
        <f>L11*F11</f>
        <v>0</v>
      </c>
      <c r="T11" s="8">
        <f>M11*F11</f>
        <v>0</v>
      </c>
      <c r="X11" s="112">
        <f>2800*16/3000</f>
        <v>14.933333333333334</v>
      </c>
      <c r="Y11" s="8">
        <f>128*F11</f>
        <v>640</v>
      </c>
      <c r="Z11" s="8">
        <f>64*F11</f>
        <v>320</v>
      </c>
      <c r="AA11" s="8">
        <f>32*F11</f>
        <v>160</v>
      </c>
      <c r="AB11" s="8">
        <f>96*F11</f>
        <v>480</v>
      </c>
      <c r="AD11" s="115">
        <f>128+64</f>
        <v>192</v>
      </c>
      <c r="AE11" s="112">
        <f>+H11/1.5</f>
        <v>77200</v>
      </c>
    </row>
    <row r="12" spans="2:31" ht="15">
      <c r="B12" s="102">
        <v>2</v>
      </c>
      <c r="C12" s="117" t="s">
        <v>627</v>
      </c>
      <c r="D12" s="128"/>
      <c r="E12" s="129"/>
      <c r="F12" s="103">
        <v>5</v>
      </c>
      <c r="G12" s="104" t="s">
        <v>23</v>
      </c>
      <c r="H12" s="105">
        <v>113500</v>
      </c>
      <c r="I12" s="106">
        <v>0</v>
      </c>
      <c r="J12" s="107">
        <f t="shared" si="0"/>
        <v>567500</v>
      </c>
      <c r="K12" s="28">
        <v>2</v>
      </c>
      <c r="L12" s="29"/>
      <c r="M12" s="29"/>
      <c r="N12" s="111" t="e">
        <f>L12/M12</f>
        <v>#DIV/0!</v>
      </c>
      <c r="O12" s="29"/>
      <c r="P12" s="30">
        <v>1</v>
      </c>
      <c r="Q12" s="31">
        <f>+L12</f>
        <v>0</v>
      </c>
      <c r="R12" s="35">
        <f aca="true" t="shared" si="1" ref="R12:R28">Q12*P12</f>
        <v>0</v>
      </c>
      <c r="S12" s="8">
        <f>L12*F12</f>
        <v>0</v>
      </c>
      <c r="T12" s="8">
        <f>M12*F12</f>
        <v>0</v>
      </c>
      <c r="X12" s="112">
        <f>1500*53/3000</f>
        <v>26.5</v>
      </c>
      <c r="Y12" s="8">
        <f>278*F12</f>
        <v>1390</v>
      </c>
      <c r="Z12" s="8">
        <f>139*F12</f>
        <v>695</v>
      </c>
      <c r="AA12" s="8">
        <f>70*F12</f>
        <v>350</v>
      </c>
      <c r="AB12" s="8">
        <f>209*F12</f>
        <v>1045</v>
      </c>
      <c r="AD12" s="115">
        <f>278+139</f>
        <v>417</v>
      </c>
      <c r="AE12" s="112">
        <f>+H12/1.5</f>
        <v>75666.66666666667</v>
      </c>
    </row>
    <row r="13" spans="2:31" ht="15">
      <c r="B13" s="102">
        <v>3</v>
      </c>
      <c r="C13" s="117" t="s">
        <v>628</v>
      </c>
      <c r="D13" s="128"/>
      <c r="E13" s="129"/>
      <c r="F13" s="103">
        <v>5</v>
      </c>
      <c r="G13" s="104" t="s">
        <v>23</v>
      </c>
      <c r="H13" s="105">
        <v>116500</v>
      </c>
      <c r="I13" s="106">
        <v>0</v>
      </c>
      <c r="J13" s="107">
        <f t="shared" si="0"/>
        <v>582500</v>
      </c>
      <c r="K13" s="28">
        <v>3</v>
      </c>
      <c r="L13" s="29"/>
      <c r="M13" s="29"/>
      <c r="N13" s="111"/>
      <c r="O13" s="29"/>
      <c r="P13" s="30">
        <v>1</v>
      </c>
      <c r="Q13" s="31">
        <f>+L13</f>
        <v>0</v>
      </c>
      <c r="R13" s="35">
        <f t="shared" si="1"/>
        <v>0</v>
      </c>
      <c r="S13" s="8">
        <f>L13*F13</f>
        <v>0</v>
      </c>
      <c r="T13" s="8">
        <f>M13*F13</f>
        <v>0</v>
      </c>
      <c r="X13" s="112">
        <v>27</v>
      </c>
      <c r="Y13" s="8">
        <f>349*F13</f>
        <v>1745</v>
      </c>
      <c r="Z13" s="8">
        <f>174*F13</f>
        <v>870</v>
      </c>
      <c r="AA13" s="8">
        <f>87*F13</f>
        <v>435</v>
      </c>
      <c r="AB13" s="8">
        <f>262*F13</f>
        <v>1310</v>
      </c>
      <c r="AD13" s="115">
        <f>349+174</f>
        <v>523</v>
      </c>
      <c r="AE13" s="112">
        <f>+H13/1.5</f>
        <v>77666.66666666667</v>
      </c>
    </row>
    <row r="14" spans="2:28" ht="15">
      <c r="B14" s="102">
        <v>4</v>
      </c>
      <c r="C14" s="117" t="s">
        <v>629</v>
      </c>
      <c r="D14" s="128"/>
      <c r="E14" s="129"/>
      <c r="F14" s="103">
        <v>5</v>
      </c>
      <c r="G14" s="104" t="s">
        <v>23</v>
      </c>
      <c r="H14" s="105">
        <v>115000</v>
      </c>
      <c r="I14" s="106">
        <v>0</v>
      </c>
      <c r="J14" s="107">
        <f t="shared" si="0"/>
        <v>575000</v>
      </c>
      <c r="K14" s="28">
        <v>4</v>
      </c>
      <c r="L14" s="29"/>
      <c r="M14" s="29"/>
      <c r="N14" s="111"/>
      <c r="O14" s="29"/>
      <c r="P14" s="30"/>
      <c r="Q14" s="31">
        <f aca="true" t="shared" si="2" ref="Q14:Q23">L14</f>
        <v>0</v>
      </c>
      <c r="R14" s="35">
        <f t="shared" si="1"/>
        <v>0</v>
      </c>
      <c r="S14" s="8">
        <f>SUM(S11:S13)</f>
        <v>0</v>
      </c>
      <c r="T14" s="8">
        <f>SUM(T11:T13)</f>
        <v>0</v>
      </c>
      <c r="X14" s="112">
        <f>+SUM(X11:X13)</f>
        <v>68.43333333333334</v>
      </c>
      <c r="Y14" s="112">
        <f>+SUM(Y11:Y13)</f>
        <v>3775</v>
      </c>
      <c r="Z14" s="112">
        <f>+SUM(Z11:Z13)</f>
        <v>1885</v>
      </c>
      <c r="AA14" s="112">
        <f>+SUM(AA11:AA13)</f>
        <v>945</v>
      </c>
      <c r="AB14" s="112">
        <f>+SUM(AB11:AB13)</f>
        <v>2835</v>
      </c>
    </row>
    <row r="15" spans="2:28" ht="15">
      <c r="B15" s="108">
        <v>5</v>
      </c>
      <c r="C15" s="117"/>
      <c r="D15" s="128"/>
      <c r="E15" s="129"/>
      <c r="F15" s="103"/>
      <c r="G15" s="104"/>
      <c r="H15" s="105">
        <f aca="true" t="shared" si="3" ref="H14:H28">VLOOKUP(B15,COTIZADO,8,FALSE)</f>
        <v>0</v>
      </c>
      <c r="I15" s="106">
        <v>0</v>
      </c>
      <c r="J15" s="107">
        <f t="shared" si="0"/>
        <v>0</v>
      </c>
      <c r="K15" s="28">
        <v>5</v>
      </c>
      <c r="L15" s="29"/>
      <c r="M15" s="29"/>
      <c r="N15" s="111"/>
      <c r="O15" s="29"/>
      <c r="P15" s="30"/>
      <c r="Q15" s="31">
        <f t="shared" si="2"/>
        <v>0</v>
      </c>
      <c r="R15" s="35">
        <f t="shared" si="1"/>
        <v>0</v>
      </c>
      <c r="T15" s="8" t="e">
        <f>S14/T14</f>
        <v>#DIV/0!</v>
      </c>
      <c r="AA15" s="112">
        <f>+SUM(Y14:AA14)</f>
        <v>6605</v>
      </c>
      <c r="AB15" s="112">
        <f>+SUM(Y14:AB14)</f>
        <v>9440</v>
      </c>
    </row>
    <row r="16" spans="2:25" ht="15">
      <c r="B16" s="108">
        <v>6</v>
      </c>
      <c r="C16" s="121"/>
      <c r="D16" s="122"/>
      <c r="E16" s="123"/>
      <c r="F16" s="76"/>
      <c r="G16" s="45"/>
      <c r="H16" s="70">
        <f t="shared" si="3"/>
        <v>0</v>
      </c>
      <c r="I16" s="71">
        <v>0</v>
      </c>
      <c r="J16" s="72">
        <f t="shared" si="0"/>
        <v>0</v>
      </c>
      <c r="K16" s="28">
        <v>6</v>
      </c>
      <c r="L16" s="29"/>
      <c r="M16" s="29"/>
      <c r="N16" s="111"/>
      <c r="O16" s="29"/>
      <c r="P16" s="30"/>
      <c r="Q16" s="31">
        <f t="shared" si="2"/>
        <v>0</v>
      </c>
      <c r="R16" s="35">
        <f t="shared" si="1"/>
        <v>0</v>
      </c>
      <c r="X16" s="8" t="s">
        <v>612</v>
      </c>
      <c r="Y16" s="114">
        <f>+S21/X14-1</f>
        <v>0.06673161227471991</v>
      </c>
    </row>
    <row r="17" spans="2:28" ht="15">
      <c r="B17" s="108">
        <v>7</v>
      </c>
      <c r="C17" s="121"/>
      <c r="D17" s="122"/>
      <c r="E17" s="123"/>
      <c r="F17" s="76"/>
      <c r="G17" s="45"/>
      <c r="H17" s="70">
        <f t="shared" si="3"/>
        <v>0</v>
      </c>
      <c r="I17" s="71">
        <v>0</v>
      </c>
      <c r="J17" s="72">
        <f t="shared" si="0"/>
        <v>0</v>
      </c>
      <c r="K17" s="28">
        <v>7</v>
      </c>
      <c r="L17" s="29"/>
      <c r="M17" s="29"/>
      <c r="N17" s="111"/>
      <c r="O17" s="29"/>
      <c r="P17" s="30"/>
      <c r="Q17" s="31">
        <f t="shared" si="2"/>
        <v>0</v>
      </c>
      <c r="R17" s="35">
        <f t="shared" si="1"/>
        <v>0</v>
      </c>
      <c r="AB17" s="8">
        <f>+AB15/(Y14+Z14)</f>
        <v>1.667844522968198</v>
      </c>
    </row>
    <row r="18" spans="2:18" ht="15">
      <c r="B18" s="108">
        <v>8</v>
      </c>
      <c r="C18" s="121"/>
      <c r="D18" s="122"/>
      <c r="E18" s="123"/>
      <c r="F18" s="76"/>
      <c r="G18" s="45"/>
      <c r="H18" s="70">
        <f t="shared" si="3"/>
        <v>0</v>
      </c>
      <c r="I18" s="71">
        <v>0</v>
      </c>
      <c r="J18" s="72">
        <f t="shared" si="0"/>
        <v>0</v>
      </c>
      <c r="K18" s="28">
        <v>8</v>
      </c>
      <c r="L18" s="29"/>
      <c r="M18" s="29"/>
      <c r="N18" s="111"/>
      <c r="O18" s="29"/>
      <c r="P18" s="30"/>
      <c r="Q18" s="31">
        <f t="shared" si="2"/>
        <v>0</v>
      </c>
      <c r="R18" s="35">
        <f t="shared" si="1"/>
        <v>0</v>
      </c>
    </row>
    <row r="19" spans="2:18" ht="15">
      <c r="B19" s="108">
        <v>9</v>
      </c>
      <c r="C19" s="121"/>
      <c r="D19" s="122"/>
      <c r="E19" s="123"/>
      <c r="F19" s="76"/>
      <c r="G19" s="45"/>
      <c r="H19" s="70">
        <f t="shared" si="3"/>
        <v>0</v>
      </c>
      <c r="I19" s="71">
        <v>0</v>
      </c>
      <c r="J19" s="72">
        <f t="shared" si="0"/>
        <v>0</v>
      </c>
      <c r="K19" s="28">
        <v>9</v>
      </c>
      <c r="L19" s="29"/>
      <c r="M19" s="29"/>
      <c r="N19" s="111"/>
      <c r="O19" s="29"/>
      <c r="P19" s="30"/>
      <c r="Q19" s="31">
        <f t="shared" si="2"/>
        <v>0</v>
      </c>
      <c r="R19" s="35">
        <f t="shared" si="1"/>
        <v>0</v>
      </c>
    </row>
    <row r="20" spans="2:21" ht="15">
      <c r="B20" s="108">
        <v>10</v>
      </c>
      <c r="C20" s="121"/>
      <c r="D20" s="122"/>
      <c r="E20" s="123"/>
      <c r="F20" s="76"/>
      <c r="G20" s="45"/>
      <c r="H20" s="70">
        <f t="shared" si="3"/>
        <v>0</v>
      </c>
      <c r="I20" s="71">
        <v>0</v>
      </c>
      <c r="J20" s="72">
        <f t="shared" si="0"/>
        <v>0</v>
      </c>
      <c r="K20" s="28">
        <v>10</v>
      </c>
      <c r="L20" s="29"/>
      <c r="M20" s="29"/>
      <c r="N20" s="111"/>
      <c r="O20" s="29"/>
      <c r="P20" s="30"/>
      <c r="Q20" s="31">
        <f t="shared" si="2"/>
        <v>0</v>
      </c>
      <c r="R20" s="35">
        <f t="shared" si="1"/>
        <v>0</v>
      </c>
      <c r="T20" s="8" t="s">
        <v>600</v>
      </c>
      <c r="U20" s="8" t="s">
        <v>589</v>
      </c>
    </row>
    <row r="21" spans="2:26" ht="15">
      <c r="B21" s="108">
        <v>11</v>
      </c>
      <c r="C21" s="121"/>
      <c r="D21" s="122"/>
      <c r="E21" s="123"/>
      <c r="F21" s="76"/>
      <c r="G21" s="45"/>
      <c r="H21" s="70">
        <f t="shared" si="3"/>
        <v>0</v>
      </c>
      <c r="I21" s="71">
        <v>0</v>
      </c>
      <c r="J21" s="72">
        <f t="shared" si="0"/>
        <v>0</v>
      </c>
      <c r="K21" s="28">
        <v>11</v>
      </c>
      <c r="L21" s="29"/>
      <c r="M21" s="29"/>
      <c r="N21" s="111"/>
      <c r="O21" s="29"/>
      <c r="P21" s="30"/>
      <c r="Q21" s="31">
        <f t="shared" si="2"/>
        <v>0</v>
      </c>
      <c r="R21" s="35">
        <f t="shared" si="1"/>
        <v>0</v>
      </c>
      <c r="S21" s="8">
        <f>+SUM(T21:T27)</f>
        <v>73</v>
      </c>
      <c r="T21" s="8">
        <v>10</v>
      </c>
      <c r="U21" s="8" t="s">
        <v>592</v>
      </c>
      <c r="V21" s="8">
        <v>157500</v>
      </c>
      <c r="W21" s="8" t="s">
        <v>602</v>
      </c>
      <c r="Y21" s="8">
        <f>+SUM(V21:V27)</f>
        <v>1101793</v>
      </c>
      <c r="Z21" s="8" t="s">
        <v>609</v>
      </c>
    </row>
    <row r="22" spans="2:23" ht="15">
      <c r="B22" s="108">
        <v>12</v>
      </c>
      <c r="C22" s="121"/>
      <c r="D22" s="122"/>
      <c r="E22" s="123"/>
      <c r="F22" s="76"/>
      <c r="G22" s="45"/>
      <c r="H22" s="70">
        <f t="shared" si="3"/>
        <v>0</v>
      </c>
      <c r="I22" s="71">
        <v>0</v>
      </c>
      <c r="J22" s="72">
        <f t="shared" si="0"/>
        <v>0</v>
      </c>
      <c r="K22" s="28">
        <v>12</v>
      </c>
      <c r="L22" s="29"/>
      <c r="M22" s="29" t="s">
        <v>580</v>
      </c>
      <c r="N22" s="111"/>
      <c r="O22" s="29"/>
      <c r="P22" s="30"/>
      <c r="Q22" s="31">
        <f t="shared" si="2"/>
        <v>0</v>
      </c>
      <c r="R22" s="35">
        <f t="shared" si="1"/>
        <v>0</v>
      </c>
      <c r="T22" s="8">
        <v>9</v>
      </c>
      <c r="U22" s="8" t="s">
        <v>603</v>
      </c>
      <c r="V22" s="8">
        <v>140700</v>
      </c>
      <c r="W22" s="8" t="s">
        <v>602</v>
      </c>
    </row>
    <row r="23" spans="2:23" ht="15">
      <c r="B23" s="108">
        <v>13</v>
      </c>
      <c r="C23" s="121"/>
      <c r="D23" s="122"/>
      <c r="E23" s="123"/>
      <c r="F23" s="76"/>
      <c r="G23" s="45"/>
      <c r="H23" s="70">
        <f t="shared" si="3"/>
        <v>0</v>
      </c>
      <c r="I23" s="71">
        <v>0</v>
      </c>
      <c r="J23" s="72">
        <f t="shared" si="0"/>
        <v>0</v>
      </c>
      <c r="K23" s="28">
        <v>13</v>
      </c>
      <c r="L23" s="29"/>
      <c r="M23" s="29"/>
      <c r="N23" s="111"/>
      <c r="O23" s="29"/>
      <c r="P23" s="30"/>
      <c r="Q23" s="31">
        <f t="shared" si="2"/>
        <v>0</v>
      </c>
      <c r="R23" s="35">
        <f t="shared" si="1"/>
        <v>0</v>
      </c>
      <c r="T23" s="8">
        <v>13</v>
      </c>
      <c r="U23" s="8" t="s">
        <v>590</v>
      </c>
      <c r="V23" s="8">
        <v>204750</v>
      </c>
      <c r="W23" s="8" t="s">
        <v>602</v>
      </c>
    </row>
    <row r="24" spans="2:23" ht="15">
      <c r="B24" s="108">
        <v>14</v>
      </c>
      <c r="C24" s="121"/>
      <c r="D24" s="122"/>
      <c r="E24" s="123"/>
      <c r="F24" s="76"/>
      <c r="G24" s="45"/>
      <c r="H24" s="70">
        <f t="shared" si="3"/>
        <v>0</v>
      </c>
      <c r="I24" s="71">
        <v>0</v>
      </c>
      <c r="J24" s="72">
        <f t="shared" si="0"/>
        <v>0</v>
      </c>
      <c r="K24" s="28">
        <v>14</v>
      </c>
      <c r="L24" s="29"/>
      <c r="M24" s="29"/>
      <c r="N24" s="111"/>
      <c r="O24" s="29"/>
      <c r="P24" s="30"/>
      <c r="Q24" s="31"/>
      <c r="R24" s="35">
        <f t="shared" si="1"/>
        <v>0</v>
      </c>
      <c r="T24" s="8">
        <v>3</v>
      </c>
      <c r="U24" s="8" t="s">
        <v>604</v>
      </c>
      <c r="V24" s="8">
        <v>47250</v>
      </c>
      <c r="W24" s="8" t="s">
        <v>602</v>
      </c>
    </row>
    <row r="25" spans="2:23" ht="15">
      <c r="B25" s="108">
        <v>15</v>
      </c>
      <c r="C25" s="42"/>
      <c r="D25" s="43"/>
      <c r="E25" s="44"/>
      <c r="F25" s="76"/>
      <c r="G25" s="45"/>
      <c r="H25" s="70">
        <f t="shared" si="3"/>
        <v>0</v>
      </c>
      <c r="I25" s="71">
        <v>0</v>
      </c>
      <c r="J25" s="72">
        <f t="shared" si="0"/>
        <v>0</v>
      </c>
      <c r="K25" s="28">
        <v>15</v>
      </c>
      <c r="L25" s="29"/>
      <c r="M25" s="29"/>
      <c r="N25" s="111"/>
      <c r="O25" s="29"/>
      <c r="P25" s="30"/>
      <c r="Q25" s="31"/>
      <c r="R25" s="35">
        <f t="shared" si="1"/>
        <v>0</v>
      </c>
      <c r="T25" s="8">
        <v>10</v>
      </c>
      <c r="U25" s="8" t="s">
        <v>592</v>
      </c>
      <c r="V25" s="8">
        <v>152550</v>
      </c>
      <c r="W25" s="8" t="s">
        <v>594</v>
      </c>
    </row>
    <row r="26" spans="2:23" ht="15">
      <c r="B26" s="108">
        <v>16</v>
      </c>
      <c r="C26" s="42"/>
      <c r="D26" s="43"/>
      <c r="E26" s="44"/>
      <c r="F26" s="76"/>
      <c r="G26" s="45"/>
      <c r="H26" s="70">
        <f t="shared" si="3"/>
        <v>0</v>
      </c>
      <c r="I26" s="71">
        <v>0</v>
      </c>
      <c r="J26" s="72">
        <f t="shared" si="0"/>
        <v>0</v>
      </c>
      <c r="K26" s="28">
        <v>16</v>
      </c>
      <c r="L26" s="29"/>
      <c r="M26" s="29"/>
      <c r="N26" s="111"/>
      <c r="O26" s="29"/>
      <c r="P26" s="30">
        <v>1.5</v>
      </c>
      <c r="Q26" s="31"/>
      <c r="R26" s="35">
        <f t="shared" si="1"/>
        <v>0</v>
      </c>
      <c r="T26" s="8">
        <v>18</v>
      </c>
      <c r="U26" s="8" t="s">
        <v>598</v>
      </c>
      <c r="V26" s="8">
        <v>263443</v>
      </c>
      <c r="W26" s="8" t="s">
        <v>594</v>
      </c>
    </row>
    <row r="27" spans="2:23" ht="15">
      <c r="B27" s="108">
        <v>17</v>
      </c>
      <c r="C27" s="42"/>
      <c r="D27" s="43"/>
      <c r="E27" s="44"/>
      <c r="F27" s="76"/>
      <c r="G27" s="45"/>
      <c r="H27" s="70">
        <f t="shared" si="3"/>
        <v>0</v>
      </c>
      <c r="I27" s="71">
        <v>0</v>
      </c>
      <c r="J27" s="72">
        <f t="shared" si="0"/>
        <v>0</v>
      </c>
      <c r="K27" s="28">
        <v>17</v>
      </c>
      <c r="L27" s="29"/>
      <c r="M27" s="29"/>
      <c r="N27" s="111"/>
      <c r="O27" s="29"/>
      <c r="P27" s="30">
        <v>1.5</v>
      </c>
      <c r="Q27" s="31"/>
      <c r="R27" s="35">
        <f t="shared" si="1"/>
        <v>0</v>
      </c>
      <c r="T27" s="113">
        <v>10</v>
      </c>
      <c r="U27" s="113" t="s">
        <v>601</v>
      </c>
      <c r="V27" s="113">
        <v>135600</v>
      </c>
      <c r="W27" s="113" t="s">
        <v>594</v>
      </c>
    </row>
    <row r="28" spans="2:26" ht="15.75" thickBot="1">
      <c r="B28" s="108">
        <v>18</v>
      </c>
      <c r="C28" s="46"/>
      <c r="D28" s="47"/>
      <c r="E28" s="48"/>
      <c r="F28" s="76"/>
      <c r="G28" s="45"/>
      <c r="H28" s="73">
        <f t="shared" si="3"/>
        <v>0</v>
      </c>
      <c r="I28" s="74">
        <v>0</v>
      </c>
      <c r="J28" s="75">
        <f t="shared" si="0"/>
        <v>0</v>
      </c>
      <c r="K28" s="28">
        <v>18</v>
      </c>
      <c r="L28" s="29"/>
      <c r="M28" s="29"/>
      <c r="N28" s="111"/>
      <c r="O28" s="29"/>
      <c r="P28" s="32">
        <v>1.5</v>
      </c>
      <c r="Q28" s="33"/>
      <c r="R28" s="35">
        <f t="shared" si="1"/>
        <v>0</v>
      </c>
      <c r="V28" s="8">
        <v>190100</v>
      </c>
      <c r="W28" s="8" t="s">
        <v>591</v>
      </c>
      <c r="Y28" s="8">
        <f>+V28+V29+V30+V31</f>
        <v>702073</v>
      </c>
      <c r="Z28" s="8" t="s">
        <v>610</v>
      </c>
    </row>
    <row r="29" spans="2:23" ht="15">
      <c r="B29" s="49" t="s">
        <v>17</v>
      </c>
      <c r="C29" s="77"/>
      <c r="D29" s="41"/>
      <c r="E29" s="41"/>
      <c r="F29" s="50"/>
      <c r="G29" s="51" t="s">
        <v>3</v>
      </c>
      <c r="H29" s="52"/>
      <c r="I29" s="53"/>
      <c r="J29" s="54">
        <f>SUM(J11:J28)</f>
        <v>2304000</v>
      </c>
      <c r="V29" s="8">
        <f>108806+31065+39602</f>
        <v>179473</v>
      </c>
      <c r="W29" s="8" t="s">
        <v>613</v>
      </c>
    </row>
    <row r="30" spans="2:23" ht="15">
      <c r="B30" s="55"/>
      <c r="C30" s="56"/>
      <c r="D30" s="57" t="s">
        <v>630</v>
      </c>
      <c r="E30" s="41"/>
      <c r="F30" s="58"/>
      <c r="G30" s="59" t="s">
        <v>13</v>
      </c>
      <c r="H30" s="60"/>
      <c r="I30" s="61"/>
      <c r="J30" s="62">
        <f>J29*I30</f>
        <v>0</v>
      </c>
      <c r="V30" s="8">
        <v>32500</v>
      </c>
      <c r="W30" s="8" t="s">
        <v>593</v>
      </c>
    </row>
    <row r="31" spans="2:23" ht="15">
      <c r="B31" s="131" t="s">
        <v>631</v>
      </c>
      <c r="C31" s="132"/>
      <c r="D31" s="132"/>
      <c r="E31" s="132"/>
      <c r="F31" s="133"/>
      <c r="G31" s="63" t="s">
        <v>4</v>
      </c>
      <c r="H31" s="56"/>
      <c r="I31" s="64"/>
      <c r="J31" s="62">
        <f>J29-J30</f>
        <v>2304000</v>
      </c>
      <c r="V31" s="8">
        <v>300000</v>
      </c>
      <c r="W31" s="8" t="s">
        <v>595</v>
      </c>
    </row>
    <row r="32" spans="2:26" ht="15">
      <c r="B32" s="131" t="s">
        <v>633</v>
      </c>
      <c r="C32" s="132"/>
      <c r="D32" s="132"/>
      <c r="E32" s="132"/>
      <c r="F32" s="134"/>
      <c r="G32" s="59">
        <v>0.19</v>
      </c>
      <c r="H32" s="60"/>
      <c r="I32" s="61">
        <v>0.19</v>
      </c>
      <c r="J32" s="62">
        <f>J31*I32</f>
        <v>437760</v>
      </c>
      <c r="V32" s="8">
        <v>324800</v>
      </c>
      <c r="W32" s="8" t="s">
        <v>596</v>
      </c>
      <c r="Y32" s="8">
        <f>+V32</f>
        <v>324800</v>
      </c>
      <c r="Z32" s="8" t="s">
        <v>611</v>
      </c>
    </row>
    <row r="33" spans="2:10" ht="15.75" thickBot="1">
      <c r="B33" s="135" t="s">
        <v>632</v>
      </c>
      <c r="C33" s="136"/>
      <c r="D33" s="136"/>
      <c r="E33" s="136"/>
      <c r="F33" s="137"/>
      <c r="G33" s="65" t="s">
        <v>2</v>
      </c>
      <c r="H33" s="66"/>
      <c r="I33" s="67"/>
      <c r="J33" s="68">
        <f>J31+J32</f>
        <v>2741760</v>
      </c>
    </row>
    <row r="35" spans="22:25" ht="15">
      <c r="V35" s="8">
        <f>+SUM(V21:V34)</f>
        <v>2128666</v>
      </c>
      <c r="Y35" s="8">
        <f>+SUM(Y21:Y32)</f>
        <v>2128666</v>
      </c>
    </row>
  </sheetData>
  <sheetProtection formatCells="0"/>
  <mergeCells count="20">
    <mergeCell ref="C23:E23"/>
    <mergeCell ref="C24:E24"/>
    <mergeCell ref="C17:E17"/>
    <mergeCell ref="C18:E18"/>
    <mergeCell ref="C19:E19"/>
    <mergeCell ref="C20:E20"/>
    <mergeCell ref="C21:E21"/>
    <mergeCell ref="C16:E16"/>
    <mergeCell ref="C22:E22"/>
    <mergeCell ref="C10:E10"/>
    <mergeCell ref="C11:E11"/>
    <mergeCell ref="C12:E12"/>
    <mergeCell ref="C13:E13"/>
    <mergeCell ref="C14:E14"/>
    <mergeCell ref="C15:E15"/>
    <mergeCell ref="B8:C8"/>
    <mergeCell ref="E5:J5"/>
    <mergeCell ref="F6:H6"/>
    <mergeCell ref="F7:H7"/>
    <mergeCell ref="F8:H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BM105" activePane="bottomLeft" state="frozen"/>
      <selection pane="topLeft" activeCell="B1" sqref="B1"/>
      <selection pane="bottomLeft" activeCell="A107" sqref="A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581</v>
      </c>
      <c r="C107" t="s">
        <v>585</v>
      </c>
      <c r="E107" t="s">
        <v>582</v>
      </c>
      <c r="F107" t="s">
        <v>583</v>
      </c>
      <c r="G107" t="s">
        <v>584</v>
      </c>
      <c r="I107" t="s">
        <v>588</v>
      </c>
      <c r="J107">
        <v>71070075</v>
      </c>
      <c r="L107" s="116" t="s">
        <v>615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2014-04-21T15:43:45Z</cp:lastPrinted>
  <dcterms:created xsi:type="dcterms:W3CDTF">2013-07-12T05:01:37Z</dcterms:created>
  <dcterms:modified xsi:type="dcterms:W3CDTF">2014-07-10T21:52:52Z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