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<sst xmlns="http://schemas.openxmlformats.org/spreadsheetml/2006/main" count="845" uniqueCount="601">
  <si>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</si>
  <si>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</si>
  <si>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</si>
  <si>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</si>
  <si>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</si>
  <si>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</si>
  <si>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</si>
  <si>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</si>
  <si>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</si>
  <si>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</si>
  <si>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</si>
  <si>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</si>
  <si>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</si>
  <si>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</si>
  <si>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</si>
  <si>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</si>
  <si>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</si>
  <si>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</si>
  <si>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</si>
  <si>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</si>
  <si>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</si>
  <si>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</si>
  <si>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</si>
  <si>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</si>
  <si>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</si>
  <si>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</si>
  <si>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</si>
  <si>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</si>
  <si>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</si>
  <si>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</si>
  <si>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</si>
  <si>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</si>
  <si>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</si>
  <si>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</si>
  <si>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</si>
  <si>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</si>
  <si>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</si>
  <si>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</si>
  <si>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</si>
  <si>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</si>
  <si>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</si>
  <si>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</si>
  <si>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</si>
  <si>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</si>
  <si>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</si>
  <si>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</si>
  <si>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</si>
  <si>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</si>
  <si>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</si>
  <si>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</si>
  <si>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</si>
  <si>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</si>
  <si>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</si>
  <si>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</si>
  <si>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</si>
  <si>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</si>
  <si>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</si>
  <si>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</si>
  <si>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</si>
  <si>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</si>
  <si>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</si>
  <si>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</si>
  <si>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</si>
  <si>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</si>
  <si>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</si>
  <si>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</si>
  <si>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</si>
  <si>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</si>
  <si>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</si>
  <si>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</si>
  <si>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</si>
  <si>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</si>
  <si>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</si>
  <si>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</si>
  <si>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</si>
  <si>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</si>
  <si>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</si>
  <si>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</si>
  <si>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</si>
  <si>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</si>
  <si>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</si>
  <si>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</si>
  <si>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</si>
  <si>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</si>
  <si>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</si>
  <si>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</si>
  <si>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</si>
  <si>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</si>
  <si>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</si>
  <si>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</si>
  <si>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</si>
  <si>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</si>
  <si>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</si>
  <si>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</si>
  <si>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</si>
  <si>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</si>
  <si>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</si>
  <si>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</si>
  <si>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</si>
  <si>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</si>
  <si>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</si>
  <si>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</si>
  <si>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</si>
  <si>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</si>
  <si>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</si>
  <si>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</si>
  <si>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</si>
  <si>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</si>
  <si>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</si>
  <si>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</si>
  <si>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</si>
  <si>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</si>
  <si>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</si>
  <si>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</si>
  <si>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</si>
  <si>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</si>
  <si>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</si>
  <si>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</si>
  <si>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</si>
  <si>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</si>
  <si>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</si>
  <si>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</si>
  <si>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</si>
  <si>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</si>
  <si>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</si>
  <si>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</si>
  <si>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</si>
  <si>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</si>
  <si>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</si>
  <si>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</si>
  <si>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</si>
  <si>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</si>
  <si>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</si>
  <si>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</si>
  <si>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</si>
  <si>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</si>
  <si>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</si>
  <si>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</si>
  <si>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</si>
  <si>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</si>
  <si>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</si>
  <si>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</si>
  <si>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</si>
  <si>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</si>
  <si>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</si>
  <si>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</si>
  <si>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</si>
  <si>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</si>
  <si>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</si>
  <si>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</si>
  <si>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</si>
  <si>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</si>
  <si>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</si>
  <si>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</si>
  <si>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</si>
  <si>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</si>
  <si>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</si>
  <si>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</si>
  <si>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</si>
  <si>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</si>
  <si>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</si>
  <si>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</si>
  <si>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</si>
  <si>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</si>
  <si>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</si>
  <si>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</si>
  <si>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</si>
  <si>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</si>
  <si>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</si>
  <si>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</si>
  <si>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</si>
  <si>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</si>
  <si>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</si>
  <si>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</si>
  <si>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</si>
  <si>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</si>
  <si>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</si>
  <si>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</si>
  <si>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</si>
  <si>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</si>
  <si>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</si>
  <si>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</si>
  <si>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</si>
  <si>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</si>
  <si>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</si>
  <si>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</si>
  <si>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</si>
  <si>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</si>
  <si>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</si>
  <si>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</si>
  <si>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</si>
  <si>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</si>
  <si>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</si>
  <si>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</si>
  <si>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</si>
  <si>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</si>
  <si>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</si>
  <si>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</si>
  <si>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</si>
  <si>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</si>
  <si>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</si>
  <si>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</si>
  <si>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</si>
  <si>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</si>
  <si>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</si>
  <si>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</si>
  <si>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</si>
  <si>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</si>
  <si>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</si>
  <si>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</si>
  <si>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</si>
  <si>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</si>
  <si>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</si>
  <si>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</si>
  <si>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</si>
  <si>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</si>
  <si>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</si>
  <si>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</si>
  <si>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</si>
  <si>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</si>
  <si>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</si>
  <si>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</si>
  <si>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</si>
  <si>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</si>
  <si>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</si>
  <si>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</si>
  <si>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</si>
  <si>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</si>
  <si>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</si>
  <si>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</si>
  <si>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</si>
  <si>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</si>
  <si>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</si>
  <si>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</si>
  <si>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</si>
  <si>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</si>
  <si>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</si>
  <si>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</si>
  <si>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</si>
  <si>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</si>
  <si>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</si>
  <si>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</si>
  <si>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</si>
  <si>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</si>
  <si>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</si>
  <si>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</si>
  <si>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</si>
  <si>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</si>
  <si>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</si>
  <si>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</si>
  <si>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</si>
  <si>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</si>
  <si>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</si>
  <si>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</si>
  <si>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</si>
  <si>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</si>
  <si>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</si>
  <si>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</si>
  <si>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</si>
  <si>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</si>
  <si>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</si>
  <si>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</si>
  <si>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</si>
  <si>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</si>
  <si>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</si>
  <si>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</si>
  <si>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</si>
  <si>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</si>
  <si>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</si>
  <si>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</si>
  <si>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</si>
  <si>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</si>
  <si>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</si>
  <si>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</si>
  <si>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</si>
  <si>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</si>
  <si>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</si>
  <si>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</si>
  <si>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</si>
  <si>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</si>
  <si>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</si>
  <si>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</si>
  <si>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</si>
  <si>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</si>
  <si>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</si>
  <si>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</si>
  <si>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</si>
  <si>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</si>
  <si>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</si>
  <si>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</si>
  <si>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</si>
  <si>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</si>
  <si>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</si>
  <si>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</si>
  <si>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</si>
  <si>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</si>
  <si>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</si>
  <si>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</si>
  <si>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</si>
  <si>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</si>
  <si>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</si>
  <si>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</si>
  <si>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</si>
  <si>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</si>
  <si>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</si>
  <si>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</si>
  <si>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</si>
  <si>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</si>
  <si>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</si>
  <si>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</si>
  <si>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</si>
  <si>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</si>
  <si>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</si>
  <si>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</si>
  <si>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</si>
  <si>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</si>
  <si>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</si>
  <si>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</si>
  <si>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</si>
  <si>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</si>
  <si>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</si>
  <si>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</si>
  <si>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</si>
  <si>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</si>
  <si>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</si>
  <si>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</si>
  <si>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</si>
  <si>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</si>
  <si>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</si>
  <si>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</si>
  <si>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</si>
  <si>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</si>
  <si>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</si>
  <si>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</si>
  <si>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</si>
  <si>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</si>
  <si>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</si>
  <si>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</si>
  <si>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</si>
  <si>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</si>
  <si>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</si>
  <si>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</si>
  <si>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</si>
  <si>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</si>
  <si>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</si>
  <si>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</si>
  <si>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</si>
  <si>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</si>
  <si>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</si>
  <si>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</si>
  <si>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</si>
  <si>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</si>
  <si>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</si>
  <si>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</si>
  <si>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</si>
  <si>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</si>
  <si>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</si>
  <si>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</si>
  <si>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</si>
  <si>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</si>
  <si>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</si>
  <si>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</si>
  <si>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</si>
  <si>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</si>
  <si>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</si>
  <si>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</si>
  <si>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</si>
  <si>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</si>
  <si>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</si>
  <si>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</si>
  <si>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</si>
  <si>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</si>
  <si>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</si>
  <si>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</si>
  <si>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</si>
  <si>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</si>
  <si>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</si>
  <si>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</si>
  <si>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</si>
  <si>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</si>
  <si>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</si>
  <si>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</si>
  <si>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</si>
  <si>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</si>
  <si>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</si>
  <si>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</si>
  <si>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</si>
  <si>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</si>
  <si>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</si>
  <si>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</si>
  <si>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</si>
  <si>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</si>
  <si>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</si>
  <si>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</si>
  <si>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</si>
  <si>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</si>
  <si>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</si>
  <si>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</si>
  <si>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</si>
  <si>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</si>
  <si>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</si>
  <si>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</si>
  <si>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</si>
  <si>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</si>
  <si>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</si>
  <si>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</si>
  <si>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</si>
  <si>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</si>
  <si>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</si>
  <si>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</si>
  <si>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</si>
  <si>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</si>
  <si>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</si>
  <si>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</si>
  <si>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</si>
  <si>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</si>
  <si>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</si>
  <si>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</si>
  <si>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</si>
  <si>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</si>
  <si>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</si>
  <si>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</si>
  <si>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</si>
  <si>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</si>
  <si>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</si>
  <si>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</si>
  <si>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</si>
  <si>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</si>
  <si>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</si>
  <si>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</si>
  <si>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</si>
  <si>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</si>
  <si>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</si>
  <si>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</si>
  <si>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</si>
  <si>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</si>
  <si>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</si>
  <si>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</si>
  <si>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</si>
  <si>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</si>
  <si>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</si>
  <si>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</si>
  <si>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</si>
  <si>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</si>
  <si>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</si>
  <si>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</si>
  <si>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</si>
  <si>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</si>
  <si>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</si>
  <si>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</si>
  <si>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</si>
  <si>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</si>
  <si>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</si>
  <si>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</si>
  <si>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</si>
  <si>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</si>
  <si>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</si>
  <si>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</si>
  <si>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</si>
  <si>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</si>
  <si>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</si>
  <si>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</si>
  <si>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</si>
  <si>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</si>
  <si>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</si>
  <si>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</si>
  <si>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</si>
  <si>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</si>
  <si>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</si>
  <si>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</si>
  <si>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</si>
  <si>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</si>
  <si>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</si>
  <si>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</si>
  <si>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</si>
  <si>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</si>
  <si>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</si>
  <si>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</si>
  <si>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</si>
  <si>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</si>
  <si>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</si>
  <si>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</si>
  <si>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</si>
  <si>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</si>
  <si>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</si>
  <si>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</si>
  <si>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</si>
  <si>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</si>
  <si>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</si>
  <si>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</si>
  <si>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</si>
  <si>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</si>
  <si>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</si>
  <si>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</si>
  <si>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</si>
  <si>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</si>
  <si>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</si>
  <si>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</si>
  <si>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</si>
  <si>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</si>
  <si>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</si>
  <si>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</si>
  <si>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</si>
  <si>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</si>
  <si>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</si>
  <si>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</si>
  <si>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</si>
  <si>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</si>
  <si>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</si>
  <si>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</si>
  <si>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</si>
  <si>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</si>
  <si>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</si>
  <si>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</si>
  <si>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</si>
  <si>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</si>
  <si>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</si>
  <si>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</si>
  <si>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</si>
  <si>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</si>
  <si>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</si>
  <si>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</si>
  <si>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</si>
  <si>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</si>
  <si>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</si>
  <si>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</si>
  <si>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</si>
  <si>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</si>
  <si>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</si>
  <si>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</si>
  <si>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</si>
  <si>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</si>
  <si>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</si>
  <si>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</si>
  <si>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</si>
  <si>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</si>
  <si>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</si>
  <si>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</si>
  <si>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</si>
  <si>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</si>
  <si>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</si>
  <si>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</si>
  <si>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</si>
  <si>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</si>
  <si>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</si>
  <si>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</si>
  <si>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</si>
  <si>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</si>
  <si>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</si>
  <si>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</si>
  <si>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</si>
  <si>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</si>
  <si>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</si>
  <si>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</si>
  <si>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</si>
  <si>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</si>
  <si>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</si>
  <si>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</si>
  <si>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</si>
  <si>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</si>
  <si>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</si>
  <si>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</si>
  <si>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</si>
  <si>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</si>
  <si>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</si>
  <si>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</si>
  <si>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</si>
  <si>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</si>
  <si>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</si>
  <si>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</si>
  <si>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</si>
  <si>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</si>
  <si>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</si>
  <si>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</si>
  <si>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</si>
  <si>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</si>
  <si>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</si>
  <si>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</si>
  <si>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</si>
  <si>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</si>
  <si>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</si>
  <si>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TERMINAL PVC 90MM X 3” CEM. HE</t>
  </si>
  <si>
    <t>CODO 45º PVC 75MM A PEGAR</t>
  </si>
  <si>
    <t>REDUCCION PVC 90MM A 75MM</t>
  </si>
  <si>
    <t>UNION AMERICANA PVC 75MM A PEGAR</t>
  </si>
  <si>
    <t>CODO 90º PVC 75MM A PEGAR</t>
  </si>
  <si>
    <t>TERMINAL PVC 75MM X 21/2 CEM. HE</t>
  </si>
  <si>
    <t>TUBERIA PVC 75 MM</t>
  </si>
  <si>
    <t>TUBERIA PVC 50 MM</t>
  </si>
  <si>
    <t>REDUCCIONES 75MM A 50MM PVC</t>
  </si>
  <si>
    <t>COPLAS 75 MM</t>
  </si>
  <si>
    <t>COPLAS 50 MM</t>
  </si>
  <si>
    <t>VALV DE BOLA METALICA 21/2  BSP</t>
  </si>
  <si>
    <t>VALV DE BOLA METALICA 1.1/2”  BSP</t>
  </si>
  <si>
    <t>IMPOPLAS</t>
  </si>
  <si>
    <t>LLAVE DE BOLA PVC 75MM A PEGAR/UAMER</t>
  </si>
  <si>
    <t>UNION AMERICANA PVC 75MMX 21/2 CON HILO/SOL</t>
  </si>
  <si>
    <t>TERMINALES 50MM PVCX HE</t>
  </si>
  <si>
    <t>SOPROIN</t>
  </si>
  <si>
    <t>ADAPT MANGUERA METALICAS 11/2" NPT</t>
  </si>
  <si>
    <t>NIPLE TUERCA PVC HIDRAULICO  2.1/2”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</si>
</sst>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ck">
        <color theme="9" tint="0.399949997663497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3" xfId="0" applyFont="1" applyFill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25" xfId="0" applyFont="1" applyFill="1" applyBorder="1" applyAlignment="1" applyProtection="1">
      <alignment horizontal="right"/>
      <protection locked="0"/>
    </xf>
    <xf numFmtId="1" fontId="50" fillId="33" borderId="26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27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27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9" xfId="0" applyFont="1" applyFill="1" applyBorder="1" applyAlignment="1" applyProtection="1">
      <alignment/>
      <protection locked="0"/>
    </xf>
    <xf numFmtId="0" fontId="50" fillId="33" borderId="30" xfId="0" applyFont="1" applyFill="1" applyBorder="1" applyAlignment="1" applyProtection="1">
      <alignment horizontal="right" vertical="center"/>
      <protection locked="0"/>
    </xf>
    <xf numFmtId="0" fontId="50" fillId="33" borderId="22" xfId="0" applyFont="1" applyFill="1" applyBorder="1" applyAlignment="1" applyProtection="1">
      <alignment horizontal="right" vertical="center"/>
      <protection locked="0"/>
    </xf>
    <xf numFmtId="0" fontId="50" fillId="33" borderId="31" xfId="0" applyFont="1" applyFill="1" applyBorder="1" applyAlignment="1" applyProtection="1">
      <alignment horizontal="right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173" fontId="52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51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72" fontId="27" fillId="33" borderId="29" xfId="0" applyNumberFormat="1" applyFont="1" applyFill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174" fontId="26" fillId="33" borderId="34" xfId="0" applyNumberFormat="1" applyFont="1" applyFill="1" applyBorder="1" applyAlignment="1" applyProtection="1">
      <alignment horizontal="center"/>
      <protection/>
    </xf>
    <xf numFmtId="174" fontId="26" fillId="33" borderId="15" xfId="0" applyNumberFormat="1" applyFont="1" applyFill="1" applyBorder="1" applyAlignment="1" applyProtection="1">
      <alignment horizontal="center"/>
      <protection/>
    </xf>
    <xf numFmtId="174" fontId="26" fillId="33" borderId="12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50" fillId="33" borderId="12" xfId="0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174" fontId="26" fillId="33" borderId="29" xfId="0" applyNumberFormat="1" applyFont="1" applyFill="1" applyBorder="1" applyAlignment="1" applyProtection="1">
      <alignment horizontal="center"/>
      <protection locked="0"/>
    </xf>
    <xf numFmtId="174" fontId="26" fillId="33" borderId="29" xfId="0" applyNumberFormat="1" applyFont="1" applyFill="1" applyBorder="1" applyAlignment="1" applyProtection="1">
      <alignment horizontal="center"/>
      <protection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Border="1" applyAlignment="1" applyProtection="1">
      <alignment/>
      <protection locked="0"/>
    </xf>
    <xf numFmtId="1" fontId="49" fillId="0" borderId="36" xfId="0" applyNumberFormat="1" applyFont="1" applyBorder="1" applyAlignment="1" applyProtection="1">
      <alignment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 horizontal="center"/>
      <protection locked="0"/>
    </xf>
    <xf numFmtId="174" fontId="50" fillId="33" borderId="34" xfId="0" applyNumberFormat="1" applyFont="1" applyFill="1" applyBorder="1" applyAlignment="1" applyProtection="1">
      <alignment horizontal="center"/>
      <protection/>
    </xf>
    <xf numFmtId="174" fontId="50" fillId="33" borderId="15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 locked="0"/>
    </xf>
    <xf numFmtId="1" fontId="49" fillId="0" borderId="0" xfId="0" applyNumberFormat="1" applyFont="1" applyFill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23" xfId="0" applyFont="1" applyFill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0" fillId="33" borderId="29" xfId="0" applyFont="1" applyFill="1" applyBorder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7">
      <selection activeCell="L30" sqref="L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>
        <v>2009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574</v>
      </c>
      <c r="E4" s="63" t="s">
        <v>12</v>
      </c>
      <c r="F4" s="65"/>
      <c r="G4" s="65"/>
      <c r="H4" s="66"/>
      <c r="I4" s="63" t="s">
        <v>9</v>
      </c>
      <c r="J4" s="67">
        <f>VLOOKUP(D4,CLIENTES,10,FALSE)</f>
        <v>0</v>
      </c>
      <c r="K4" s="20"/>
    </row>
    <row r="5" spans="2:12" ht="15">
      <c r="B5" s="68"/>
      <c r="C5" s="69"/>
      <c r="D5" s="70"/>
      <c r="E5" s="118" t="str">
        <f>VLOOKUP(D4,CLIENTES,4,FALSE)</f>
        <v>SAN PABLO ANTIGUO S/N KM 16 1/2</v>
      </c>
      <c r="F5" s="118"/>
      <c r="G5" s="118"/>
      <c r="H5" s="118"/>
      <c r="I5" s="118"/>
      <c r="J5" s="119"/>
      <c r="K5" s="20"/>
      <c r="L5" s="89"/>
    </row>
    <row r="6" spans="2:10" ht="17.25" customHeight="1">
      <c r="B6" s="68" t="s">
        <v>27</v>
      </c>
      <c r="C6" s="69"/>
      <c r="D6" s="71" t="str">
        <f>VLOOKUP(D4,CLIENTES,2,FALSE)</f>
        <v>ULTRAPAC  SUDAMERICA S.A.</v>
      </c>
      <c r="E6" s="69" t="s">
        <v>7</v>
      </c>
      <c r="F6" s="118" t="str">
        <f>VLOOKUP(D4,CLIENTES,5,FALSE)</f>
        <v>PUDAHUEL</v>
      </c>
      <c r="G6" s="118"/>
      <c r="H6" s="118"/>
      <c r="I6" s="72" t="str">
        <f>VLOOKUP(D4,CLIENTES,11,FALSE)</f>
        <v>pborquez@integrity.cl  </v>
      </c>
      <c r="J6" s="73"/>
    </row>
    <row r="7" spans="2:10" ht="15">
      <c r="B7" s="68" t="s">
        <v>25</v>
      </c>
      <c r="C7" s="69"/>
      <c r="D7" s="71" t="str">
        <f>VLOOKUP(D4,CLIENTES,3,FALSE)</f>
        <v>FABRICACION DE PRODUCTOS PLASTICOS DIVERSOS</v>
      </c>
      <c r="E7" s="69" t="s">
        <v>8</v>
      </c>
      <c r="F7" s="118" t="str">
        <f>VLOOKUP(D4,CLIENTES,6,FALSE)</f>
        <v>STGO</v>
      </c>
      <c r="G7" s="118"/>
      <c r="H7" s="118"/>
      <c r="I7" s="69" t="s">
        <v>26</v>
      </c>
      <c r="J7" s="74" t="str">
        <f>VLOOKUP(D4,CLIENTES,8,FALSE)</f>
        <v>Paola Borquez</v>
      </c>
    </row>
    <row r="8" spans="2:12" ht="15.75" thickBot="1">
      <c r="B8" s="116" t="s">
        <v>28</v>
      </c>
      <c r="C8" s="117"/>
      <c r="D8" s="71" t="str">
        <f>VLOOKUP(D4,CLIENTES,7,FALSE)</f>
        <v>30 dias</v>
      </c>
      <c r="E8" s="69" t="s">
        <v>11</v>
      </c>
      <c r="F8" s="118">
        <f>VLOOKUP(D4,CLIENTES,12,FALSE)</f>
        <v>0</v>
      </c>
      <c r="G8" s="118"/>
      <c r="H8" s="118"/>
      <c r="I8" s="69" t="s">
        <v>14</v>
      </c>
      <c r="J8" s="75">
        <f ca="1">TODAY()</f>
        <v>41913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129">
        <v>-0.06</v>
      </c>
      <c r="M9" s="20"/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3" t="s">
        <v>24</v>
      </c>
      <c r="D10" s="114"/>
      <c r="E10" s="115"/>
      <c r="F10" s="81" t="s">
        <v>0</v>
      </c>
      <c r="G10" s="82" t="s">
        <v>23</v>
      </c>
      <c r="H10" s="91" t="s">
        <v>15</v>
      </c>
      <c r="I10" s="90" t="s">
        <v>13</v>
      </c>
      <c r="J10" s="83" t="s">
        <v>2</v>
      </c>
      <c r="K10" s="24" t="s">
        <v>18</v>
      </c>
      <c r="L10" s="25" t="s">
        <v>594</v>
      </c>
      <c r="M10" s="25"/>
      <c r="N10" s="25" t="s">
        <v>598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2">
        <v>1</v>
      </c>
      <c r="C11" s="120" t="s">
        <v>600</v>
      </c>
      <c r="D11" s="121"/>
      <c r="E11" s="122"/>
      <c r="F11" s="93">
        <v>4</v>
      </c>
      <c r="G11" s="62" t="s">
        <v>23</v>
      </c>
      <c r="H11" s="85">
        <f aca="true" t="shared" si="0" ref="H11:H17">+R11</f>
        <v>5359.900000000001</v>
      </c>
      <c r="I11" s="87">
        <v>0</v>
      </c>
      <c r="J11" s="84">
        <f aca="true" t="shared" si="1" ref="J11:J28">F11*H11*(1-I11/100)</f>
        <v>21439.600000000002</v>
      </c>
      <c r="K11" s="28">
        <v>1</v>
      </c>
      <c r="L11" s="111">
        <v>3458</v>
      </c>
      <c r="M11" s="111"/>
      <c r="N11" s="29"/>
      <c r="O11" s="29"/>
      <c r="P11" s="30">
        <v>1.55</v>
      </c>
      <c r="Q11" s="102">
        <f>+L11</f>
        <v>3458</v>
      </c>
      <c r="R11" s="32">
        <f>Q11*P11</f>
        <v>5359.900000000001</v>
      </c>
    </row>
    <row r="12" spans="2:18" ht="15">
      <c r="B12" s="101">
        <v>2</v>
      </c>
      <c r="C12" s="116" t="s">
        <v>581</v>
      </c>
      <c r="D12" s="123"/>
      <c r="E12" s="124"/>
      <c r="F12" s="94">
        <v>4</v>
      </c>
      <c r="G12" s="68" t="s">
        <v>23</v>
      </c>
      <c r="H12" s="85">
        <f t="shared" si="0"/>
        <v>3248.8</v>
      </c>
      <c r="I12" s="88"/>
      <c r="J12" s="86">
        <f t="shared" si="1"/>
        <v>12995.2</v>
      </c>
      <c r="K12" s="28">
        <v>2</v>
      </c>
      <c r="L12" s="111">
        <v>2096</v>
      </c>
      <c r="M12" s="111"/>
      <c r="N12" s="29"/>
      <c r="O12" s="29"/>
      <c r="P12" s="30">
        <v>1.55</v>
      </c>
      <c r="Q12" s="102">
        <f>+L12</f>
        <v>2096</v>
      </c>
      <c r="R12" s="32">
        <f aca="true" t="shared" si="2" ref="R12:R28">Q12*P12</f>
        <v>3248.8</v>
      </c>
    </row>
    <row r="13" spans="2:18" ht="15">
      <c r="B13" s="101">
        <v>3</v>
      </c>
      <c r="C13" s="95" t="s">
        <v>582</v>
      </c>
      <c r="D13" s="96"/>
      <c r="E13" s="97"/>
      <c r="F13" s="94">
        <v>4</v>
      </c>
      <c r="G13" s="68" t="s">
        <v>23</v>
      </c>
      <c r="H13" s="85">
        <f t="shared" si="0"/>
        <v>5798.55</v>
      </c>
      <c r="I13" s="88"/>
      <c r="J13" s="86">
        <f t="shared" si="1"/>
        <v>23194.2</v>
      </c>
      <c r="K13" s="28">
        <v>3</v>
      </c>
      <c r="L13" s="111">
        <v>3741</v>
      </c>
      <c r="M13" s="111"/>
      <c r="N13" s="29"/>
      <c r="O13" s="29"/>
      <c r="P13" s="30">
        <v>1.55</v>
      </c>
      <c r="Q13" s="102">
        <f>+L13</f>
        <v>3741</v>
      </c>
      <c r="R13" s="32">
        <f t="shared" si="2"/>
        <v>5798.55</v>
      </c>
    </row>
    <row r="14" spans="2:18" ht="15">
      <c r="B14" s="101">
        <v>4</v>
      </c>
      <c r="C14" s="95" t="s">
        <v>583</v>
      </c>
      <c r="D14" s="96"/>
      <c r="E14" s="97"/>
      <c r="F14" s="94">
        <v>4</v>
      </c>
      <c r="G14" s="68" t="s">
        <v>23</v>
      </c>
      <c r="H14" s="85">
        <f t="shared" si="0"/>
        <v>3720</v>
      </c>
      <c r="I14" s="88"/>
      <c r="J14" s="86">
        <f t="shared" si="1"/>
        <v>14880</v>
      </c>
      <c r="K14" s="28">
        <v>4</v>
      </c>
      <c r="L14" s="111">
        <v>2400</v>
      </c>
      <c r="M14" s="111"/>
      <c r="N14" s="29"/>
      <c r="O14" s="29"/>
      <c r="P14" s="30">
        <v>1.55</v>
      </c>
      <c r="Q14" s="102">
        <f>+L14</f>
        <v>2400</v>
      </c>
      <c r="R14" s="32">
        <f t="shared" si="2"/>
        <v>3720</v>
      </c>
    </row>
    <row r="15" spans="2:18" ht="15">
      <c r="B15" s="101">
        <v>5</v>
      </c>
      <c r="C15" s="95" t="s">
        <v>584</v>
      </c>
      <c r="D15" s="96"/>
      <c r="E15" s="97"/>
      <c r="F15" s="94">
        <v>6</v>
      </c>
      <c r="G15" s="68" t="s">
        <v>23</v>
      </c>
      <c r="H15" s="85">
        <f t="shared" si="0"/>
        <v>14883.1</v>
      </c>
      <c r="I15" s="88">
        <v>0</v>
      </c>
      <c r="J15" s="86">
        <f t="shared" si="1"/>
        <v>89298.6</v>
      </c>
      <c r="K15" s="28">
        <v>5</v>
      </c>
      <c r="L15" s="112">
        <v>9602</v>
      </c>
      <c r="M15" s="111"/>
      <c r="N15" s="29"/>
      <c r="O15" s="29"/>
      <c r="P15" s="30">
        <v>1.55</v>
      </c>
      <c r="Q15" s="102">
        <f>+L15</f>
        <v>9602</v>
      </c>
      <c r="R15" s="32">
        <f t="shared" si="2"/>
        <v>14883.1</v>
      </c>
    </row>
    <row r="16" spans="2:18" ht="15">
      <c r="B16" s="101">
        <v>6</v>
      </c>
      <c r="C16" s="95" t="s">
        <v>585</v>
      </c>
      <c r="D16" s="96"/>
      <c r="E16" s="97"/>
      <c r="F16" s="94">
        <v>10</v>
      </c>
      <c r="G16" s="68" t="s">
        <v>23</v>
      </c>
      <c r="H16" s="85">
        <f t="shared" si="0"/>
        <v>4030</v>
      </c>
      <c r="I16" s="88">
        <v>0</v>
      </c>
      <c r="J16" s="86">
        <f t="shared" si="1"/>
        <v>40300</v>
      </c>
      <c r="K16" s="28">
        <v>6</v>
      </c>
      <c r="L16" s="111">
        <v>2600</v>
      </c>
      <c r="M16" s="111"/>
      <c r="N16" s="29"/>
      <c r="O16" s="29"/>
      <c r="P16" s="30">
        <v>1.55</v>
      </c>
      <c r="Q16" s="102">
        <f aca="true" t="shared" si="3" ref="Q16:Q25">+L16</f>
        <v>2600</v>
      </c>
      <c r="R16" s="32">
        <f t="shared" si="2"/>
        <v>4030</v>
      </c>
    </row>
    <row r="17" spans="2:18" ht="15">
      <c r="B17" s="101">
        <v>7</v>
      </c>
      <c r="C17" s="95" t="s">
        <v>595</v>
      </c>
      <c r="D17" s="96"/>
      <c r="E17" s="97"/>
      <c r="F17" s="94">
        <v>4</v>
      </c>
      <c r="G17" s="68" t="s">
        <v>23</v>
      </c>
      <c r="H17" s="85">
        <f t="shared" si="0"/>
        <v>27283.100000000002</v>
      </c>
      <c r="I17" s="88">
        <v>0</v>
      </c>
      <c r="J17" s="86">
        <f t="shared" si="1"/>
        <v>109132.40000000001</v>
      </c>
      <c r="K17" s="28">
        <v>7</v>
      </c>
      <c r="L17" s="111">
        <v>17602</v>
      </c>
      <c r="M17" s="111"/>
      <c r="N17" s="29"/>
      <c r="O17" s="29"/>
      <c r="P17" s="30">
        <v>1.55</v>
      </c>
      <c r="Q17" s="102">
        <f>+L17</f>
        <v>17602</v>
      </c>
      <c r="R17" s="32">
        <f t="shared" si="2"/>
        <v>27283.100000000002</v>
      </c>
    </row>
    <row r="18" spans="2:18" ht="15">
      <c r="B18" s="101">
        <v>8</v>
      </c>
      <c r="C18" s="95" t="s">
        <v>586</v>
      </c>
      <c r="D18" s="96"/>
      <c r="E18" s="97"/>
      <c r="F18" s="94">
        <v>6</v>
      </c>
      <c r="G18" s="68" t="s">
        <v>23</v>
      </c>
      <c r="H18" s="85">
        <f aca="true" t="shared" si="4" ref="H18:H28">VLOOKUP(B18,COTIZADO,8,FALSE)</f>
        <v>2309.5</v>
      </c>
      <c r="I18" s="88">
        <v>0</v>
      </c>
      <c r="J18" s="86">
        <f t="shared" si="1"/>
        <v>13857</v>
      </c>
      <c r="K18" s="28">
        <v>8</v>
      </c>
      <c r="L18" s="111">
        <v>1490</v>
      </c>
      <c r="M18" s="111"/>
      <c r="N18" s="29"/>
      <c r="O18" s="29"/>
      <c r="P18" s="30">
        <v>1.55</v>
      </c>
      <c r="Q18" s="102">
        <f>+L18</f>
        <v>1490</v>
      </c>
      <c r="R18" s="32">
        <f t="shared" si="2"/>
        <v>2309.5</v>
      </c>
    </row>
    <row r="19" spans="2:18" ht="15">
      <c r="B19" s="101">
        <v>9</v>
      </c>
      <c r="C19" s="95" t="s">
        <v>592</v>
      </c>
      <c r="D19" s="96"/>
      <c r="E19" s="97"/>
      <c r="F19" s="94">
        <v>2</v>
      </c>
      <c r="G19" s="68" t="s">
        <v>23</v>
      </c>
      <c r="H19" s="85">
        <f t="shared" si="4"/>
        <v>34963</v>
      </c>
      <c r="I19" s="88">
        <v>0</v>
      </c>
      <c r="J19" s="86">
        <f t="shared" si="1"/>
        <v>69926</v>
      </c>
      <c r="K19" s="28">
        <v>9</v>
      </c>
      <c r="L19" s="111"/>
      <c r="M19" s="111">
        <v>34963</v>
      </c>
      <c r="N19" s="29"/>
      <c r="O19" s="29"/>
      <c r="P19" s="30">
        <v>1</v>
      </c>
      <c r="Q19" s="102">
        <f>+M19</f>
        <v>34963</v>
      </c>
      <c r="R19" s="32">
        <f t="shared" si="2"/>
        <v>34963</v>
      </c>
    </row>
    <row r="20" spans="2:18" ht="15">
      <c r="B20" s="101">
        <v>10</v>
      </c>
      <c r="C20" s="95" t="s">
        <v>596</v>
      </c>
      <c r="D20" s="96"/>
      <c r="E20" s="97"/>
      <c r="F20" s="94">
        <v>2</v>
      </c>
      <c r="G20" s="68" t="s">
        <v>23</v>
      </c>
      <c r="H20" s="85">
        <f t="shared" si="4"/>
        <v>33227.35</v>
      </c>
      <c r="I20" s="88">
        <v>0</v>
      </c>
      <c r="J20" s="86">
        <f t="shared" si="1"/>
        <v>66454.7</v>
      </c>
      <c r="K20" s="28">
        <v>10</v>
      </c>
      <c r="L20" s="111">
        <v>21437</v>
      </c>
      <c r="M20" s="111"/>
      <c r="N20" s="29"/>
      <c r="O20" s="29"/>
      <c r="P20" s="30">
        <v>1.55</v>
      </c>
      <c r="Q20" s="102">
        <f t="shared" si="3"/>
        <v>21437</v>
      </c>
      <c r="R20" s="32">
        <f t="shared" si="2"/>
        <v>33227.35</v>
      </c>
    </row>
    <row r="21" spans="2:18" ht="15">
      <c r="B21" s="101">
        <v>11</v>
      </c>
      <c r="C21" s="95" t="s">
        <v>587</v>
      </c>
      <c r="D21" s="96"/>
      <c r="E21" s="97"/>
      <c r="F21" s="94">
        <v>11</v>
      </c>
      <c r="G21" s="68" t="s">
        <v>23</v>
      </c>
      <c r="H21" s="85">
        <f t="shared" si="4"/>
        <v>18348.9</v>
      </c>
      <c r="I21" s="88">
        <v>0</v>
      </c>
      <c r="J21" s="86">
        <f t="shared" si="1"/>
        <v>201837.90000000002</v>
      </c>
      <c r="K21" s="28">
        <v>11</v>
      </c>
      <c r="L21" s="111">
        <v>11838</v>
      </c>
      <c r="M21" s="111"/>
      <c r="N21" s="29"/>
      <c r="O21" s="29"/>
      <c r="P21" s="30">
        <v>1.55</v>
      </c>
      <c r="Q21" s="102">
        <f t="shared" si="3"/>
        <v>11838</v>
      </c>
      <c r="R21" s="32">
        <f t="shared" si="2"/>
        <v>18348.9</v>
      </c>
    </row>
    <row r="22" spans="2:18" ht="15">
      <c r="B22" s="101">
        <v>12</v>
      </c>
      <c r="C22" s="95" t="s">
        <v>588</v>
      </c>
      <c r="D22" s="96"/>
      <c r="E22" s="97"/>
      <c r="F22" s="94">
        <v>1</v>
      </c>
      <c r="G22" s="68" t="s">
        <v>23</v>
      </c>
      <c r="H22" s="85">
        <f t="shared" si="4"/>
        <v>7908.1</v>
      </c>
      <c r="I22" s="88">
        <v>0</v>
      </c>
      <c r="J22" s="86">
        <f t="shared" si="1"/>
        <v>7908.1</v>
      </c>
      <c r="K22" s="28">
        <v>12</v>
      </c>
      <c r="L22" s="29">
        <v>5102</v>
      </c>
      <c r="M22" s="29"/>
      <c r="N22" s="29"/>
      <c r="O22" s="29"/>
      <c r="P22" s="30">
        <v>1.55</v>
      </c>
      <c r="Q22" s="102">
        <f t="shared" si="3"/>
        <v>5102</v>
      </c>
      <c r="R22" s="32">
        <f t="shared" si="2"/>
        <v>7908.1</v>
      </c>
    </row>
    <row r="23" spans="2:18" ht="15">
      <c r="B23" s="101">
        <v>13</v>
      </c>
      <c r="C23" s="95" t="s">
        <v>597</v>
      </c>
      <c r="D23" s="96"/>
      <c r="E23" s="97"/>
      <c r="F23" s="94">
        <v>2</v>
      </c>
      <c r="G23" s="68" t="s">
        <v>23</v>
      </c>
      <c r="H23" s="85">
        <f t="shared" si="4"/>
        <v>697.5</v>
      </c>
      <c r="I23" s="88">
        <v>0</v>
      </c>
      <c r="J23" s="86">
        <f t="shared" si="1"/>
        <v>1395</v>
      </c>
      <c r="K23" s="28">
        <v>13</v>
      </c>
      <c r="L23" s="29">
        <v>450</v>
      </c>
      <c r="M23" s="29"/>
      <c r="N23" s="29"/>
      <c r="O23" s="29"/>
      <c r="P23" s="30">
        <v>1.55</v>
      </c>
      <c r="Q23" s="102">
        <f t="shared" si="3"/>
        <v>450</v>
      </c>
      <c r="R23" s="32">
        <f t="shared" si="2"/>
        <v>697.5</v>
      </c>
    </row>
    <row r="24" spans="2:18" ht="15">
      <c r="B24" s="101">
        <v>14</v>
      </c>
      <c r="C24" s="95" t="s">
        <v>589</v>
      </c>
      <c r="D24" s="96"/>
      <c r="E24" s="97"/>
      <c r="F24" s="94">
        <v>2</v>
      </c>
      <c r="G24" s="68" t="s">
        <v>23</v>
      </c>
      <c r="H24" s="85">
        <f>VLOOKUP(B24,COTIZADO,8,FALSE)</f>
        <v>2340.5</v>
      </c>
      <c r="I24" s="88"/>
      <c r="J24" s="86">
        <f>F24*H24*(1-I24/100)</f>
        <v>4681</v>
      </c>
      <c r="K24" s="28">
        <v>14</v>
      </c>
      <c r="L24" s="29">
        <v>1510</v>
      </c>
      <c r="M24" s="111"/>
      <c r="N24" s="29"/>
      <c r="O24" s="29"/>
      <c r="P24" s="30">
        <v>1.55</v>
      </c>
      <c r="Q24" s="102">
        <f>+L24</f>
        <v>1510</v>
      </c>
      <c r="R24" s="32">
        <f t="shared" si="2"/>
        <v>2340.5</v>
      </c>
    </row>
    <row r="25" spans="2:18" ht="15">
      <c r="B25" s="104">
        <v>15</v>
      </c>
      <c r="C25" s="125" t="s">
        <v>593</v>
      </c>
      <c r="D25" s="105"/>
      <c r="E25" s="106"/>
      <c r="F25" s="107">
        <v>2</v>
      </c>
      <c r="G25" s="34" t="s">
        <v>23</v>
      </c>
      <c r="H25" s="108">
        <f t="shared" si="4"/>
        <v>13210</v>
      </c>
      <c r="I25" s="109">
        <v>0</v>
      </c>
      <c r="J25" s="110">
        <f t="shared" si="1"/>
        <v>26420</v>
      </c>
      <c r="K25" s="28">
        <v>15</v>
      </c>
      <c r="L25" s="29"/>
      <c r="M25" s="29">
        <v>13210</v>
      </c>
      <c r="N25" s="29"/>
      <c r="O25" s="29"/>
      <c r="P25" s="30">
        <v>1</v>
      </c>
      <c r="Q25" s="102">
        <f>+M25</f>
        <v>13210</v>
      </c>
      <c r="R25" s="32">
        <f t="shared" si="2"/>
        <v>13210</v>
      </c>
    </row>
    <row r="26" spans="2:18" ht="15">
      <c r="B26" s="104">
        <v>16</v>
      </c>
      <c r="C26" s="125" t="s">
        <v>599</v>
      </c>
      <c r="D26" s="105"/>
      <c r="E26" s="106"/>
      <c r="F26" s="107">
        <v>2</v>
      </c>
      <c r="G26" s="34" t="s">
        <v>23</v>
      </c>
      <c r="H26" s="108">
        <f t="shared" si="4"/>
        <v>2940</v>
      </c>
      <c r="I26" s="109">
        <v>0</v>
      </c>
      <c r="J26" s="110">
        <f t="shared" si="1"/>
        <v>5880</v>
      </c>
      <c r="K26" s="28">
        <v>16</v>
      </c>
      <c r="L26" s="29"/>
      <c r="M26" s="29"/>
      <c r="N26" s="29">
        <f>2940</f>
        <v>2940</v>
      </c>
      <c r="O26" s="29"/>
      <c r="P26" s="30">
        <v>1</v>
      </c>
      <c r="Q26" s="102">
        <v>2940</v>
      </c>
      <c r="R26" s="32">
        <f t="shared" si="2"/>
        <v>2940</v>
      </c>
    </row>
    <row r="27" spans="2:18" ht="15">
      <c r="B27" s="104">
        <v>17</v>
      </c>
      <c r="C27" s="125" t="s">
        <v>590</v>
      </c>
      <c r="D27" s="105"/>
      <c r="E27" s="106"/>
      <c r="F27" s="107">
        <v>8</v>
      </c>
      <c r="G27" s="34" t="s">
        <v>23</v>
      </c>
      <c r="H27" s="85">
        <f t="shared" si="4"/>
        <v>3177.5</v>
      </c>
      <c r="I27" s="88">
        <v>0</v>
      </c>
      <c r="J27" s="86">
        <f t="shared" si="1"/>
        <v>25420</v>
      </c>
      <c r="K27" s="28">
        <v>17</v>
      </c>
      <c r="L27" s="29">
        <v>2050</v>
      </c>
      <c r="M27" s="29"/>
      <c r="N27" s="29"/>
      <c r="O27" s="29"/>
      <c r="P27" s="30">
        <v>1.55</v>
      </c>
      <c r="Q27" s="102">
        <f>+L27</f>
        <v>2050</v>
      </c>
      <c r="R27" s="32">
        <f t="shared" si="2"/>
        <v>3177.5</v>
      </c>
    </row>
    <row r="28" spans="2:18" ht="15.75" thickBot="1">
      <c r="B28" s="104">
        <v>18</v>
      </c>
      <c r="C28" s="126" t="s">
        <v>591</v>
      </c>
      <c r="D28" s="127"/>
      <c r="E28" s="128"/>
      <c r="F28" s="107">
        <v>4</v>
      </c>
      <c r="G28" s="34" t="s">
        <v>23</v>
      </c>
      <c r="H28" s="98">
        <f t="shared" si="4"/>
        <v>573.5</v>
      </c>
      <c r="I28" s="99">
        <v>0</v>
      </c>
      <c r="J28" s="100">
        <f t="shared" si="1"/>
        <v>2294</v>
      </c>
      <c r="K28" s="28">
        <v>18</v>
      </c>
      <c r="L28" s="29">
        <v>370</v>
      </c>
      <c r="M28" s="29"/>
      <c r="N28" s="29"/>
      <c r="O28" s="29"/>
      <c r="P28" s="30">
        <v>1.55</v>
      </c>
      <c r="Q28" s="103">
        <f>+L28</f>
        <v>370</v>
      </c>
      <c r="R28" s="32">
        <f t="shared" si="2"/>
        <v>573.5</v>
      </c>
    </row>
    <row r="29" spans="2:10" ht="15">
      <c r="B29" s="38" t="s">
        <v>17</v>
      </c>
      <c r="C29" s="61"/>
      <c r="D29" s="35"/>
      <c r="E29" s="35"/>
      <c r="F29" s="39"/>
      <c r="G29" s="40" t="s">
        <v>3</v>
      </c>
      <c r="H29" s="44"/>
      <c r="I29" s="41"/>
      <c r="J29" s="42">
        <f>SUM(J11:J28)</f>
        <v>737313.7000000001</v>
      </c>
    </row>
    <row r="30" spans="2:10" ht="15">
      <c r="B30" s="43"/>
      <c r="C30" s="44"/>
      <c r="D30" s="45"/>
      <c r="E30" s="35"/>
      <c r="F30" s="46"/>
      <c r="G30" s="47" t="s">
        <v>13</v>
      </c>
      <c r="H30" s="48"/>
      <c r="I30" s="49"/>
      <c r="J30" s="50">
        <f>J29*I30</f>
        <v>0</v>
      </c>
    </row>
    <row r="31" spans="2:10" ht="15">
      <c r="B31" s="34"/>
      <c r="C31" s="35"/>
      <c r="D31" s="35"/>
      <c r="E31" s="35"/>
      <c r="F31" s="51"/>
      <c r="G31" s="52" t="s">
        <v>4</v>
      </c>
      <c r="H31" s="44"/>
      <c r="I31" s="53"/>
      <c r="J31" s="50">
        <f>J29-J30</f>
        <v>737313.7000000001</v>
      </c>
    </row>
    <row r="32" spans="2:10" ht="15">
      <c r="B32" s="34"/>
      <c r="C32" s="35"/>
      <c r="D32" s="35"/>
      <c r="E32" s="35"/>
      <c r="F32" s="46"/>
      <c r="G32" s="47">
        <v>0.19</v>
      </c>
      <c r="H32" s="48"/>
      <c r="I32" s="49">
        <v>0.19</v>
      </c>
      <c r="J32" s="50">
        <f>J31*I32</f>
        <v>140089.603</v>
      </c>
    </row>
    <row r="33" spans="2:10" ht="15.75" thickBot="1">
      <c r="B33" s="36"/>
      <c r="C33" s="37"/>
      <c r="D33" s="37"/>
      <c r="E33" s="37"/>
      <c r="F33" s="54"/>
      <c r="G33" s="55" t="s">
        <v>2</v>
      </c>
      <c r="H33" s="56"/>
      <c r="I33" s="57"/>
      <c r="J33" s="58">
        <f>J31+J32</f>
        <v>877403.3030000001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3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60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2014-10-01T13:44:47Z</cp:lastPrinted>
  <dcterms:created xsi:type="dcterms:W3CDTF">2013-07-12T05:01:37Z</dcterms:created>
  <dcterms:modified xsi:type="dcterms:W3CDTF">2014-10-01T13:46:40Z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