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'COTIZACION'!$B$1:$J$42</definedName>
    <definedName name="CLIENTES">'CLIENTES'!$B$2:$M$201</definedName>
    <definedName name="COTIZADO" comment="VALORES COTIZADOS A PROVEEDORES">'COTIZACION'!$K$10:$S$37</definedName>
    <definedName name="VENTAFINAL" comment="PRECIO OFERTADO A CLIENTE">'COTIZACION'!$S$11:$S$37</definedName>
    <definedName name="Z_E08BD4BD_63D8_41E6_9AED_1C81DE76C4C8_.wvu.PrintArea" localSheetId="0" hidden="1">'COTIZACION'!$B$1:$J$42</definedName>
  </definedNames>
  <calcPr fullCalcOnLoad="1"/>
</workbook>
</file>

<file path=xl/sharedStrings.xml><?xml version="1.0" encoding="utf-8"?>
<sst xmlns="http://schemas.openxmlformats.org/spreadsheetml/2006/main" count="898" uniqueCount="637">
  <si>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</si>
  <si>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</si>
  <si>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</si>
  <si>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</si>
  <si>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</si>
  <si>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</si>
  <si>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</si>
  <si>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</si>
  <si>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</si>
  <si>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</si>
  <si>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</si>
  <si>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</si>
  <si>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</si>
  <si>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</si>
  <si>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</si>
  <si>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</si>
  <si>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</si>
  <si>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</si>
  <si>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</si>
  <si>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</si>
  <si>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</si>
  <si>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</si>
  <si>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</si>
  <si>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</si>
  <si>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</si>
  <si>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</si>
  <si>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</si>
  <si>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</si>
  <si>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</si>
  <si>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</si>
  <si>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</si>
  <si>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</si>
  <si>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</si>
  <si>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</si>
  <si>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</si>
  <si>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</si>
  <si>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</si>
  <si>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</si>
  <si>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</si>
  <si>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</si>
  <si>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</si>
  <si>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</si>
  <si>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</si>
  <si>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</si>
  <si>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</si>
  <si>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</si>
  <si>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</si>
  <si>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</si>
  <si>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</si>
  <si>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</si>
  <si>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</si>
  <si>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</si>
  <si>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</si>
  <si>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</si>
  <si>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</si>
  <si>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</si>
  <si>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</si>
  <si>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</si>
  <si>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</si>
  <si>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</si>
  <si>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</si>
  <si>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</si>
  <si>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</si>
  <si>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</si>
  <si>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</si>
  <si>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</si>
  <si>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</si>
  <si>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</si>
  <si>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</si>
  <si>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</si>
  <si>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</si>
  <si>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</si>
  <si>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</si>
  <si>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</si>
  <si>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</si>
  <si>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</si>
  <si>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</si>
  <si>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</si>
  <si>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</si>
  <si>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</si>
  <si>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</si>
  <si>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</si>
  <si>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</si>
  <si>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</si>
  <si>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</si>
  <si>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</si>
  <si>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</si>
  <si>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</si>
  <si>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</si>
  <si>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</si>
  <si>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</si>
  <si>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</si>
  <si>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</si>
  <si>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</si>
  <si>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</si>
  <si>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</si>
  <si>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</si>
  <si>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</si>
  <si>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</si>
  <si>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</si>
  <si>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</si>
  <si>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</si>
  <si>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</si>
  <si>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</si>
  <si>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</si>
  <si>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</si>
  <si>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</si>
  <si>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</si>
  <si>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</si>
  <si>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</si>
  <si>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</si>
  <si>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</si>
  <si>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</si>
  <si>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</si>
  <si>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</si>
  <si>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</si>
  <si>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</si>
  <si>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</si>
  <si>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</si>
  <si>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</si>
  <si>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</si>
  <si>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</si>
  <si>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</si>
  <si>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</si>
  <si>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</si>
  <si>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</si>
  <si>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</si>
  <si>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</si>
  <si>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</si>
  <si>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</si>
  <si>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</si>
  <si>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</si>
  <si>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</si>
  <si>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</si>
  <si>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</si>
  <si>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</si>
  <si>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</si>
  <si>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</si>
  <si>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</si>
  <si>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</si>
  <si>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</si>
  <si>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</si>
  <si>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</si>
  <si>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</si>
  <si>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</si>
  <si>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</si>
  <si>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</si>
  <si>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</si>
  <si>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</si>
  <si>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</si>
  <si>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</si>
  <si>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</si>
  <si>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</si>
  <si>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</si>
  <si>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</si>
  <si>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</si>
  <si>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</si>
  <si>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</si>
  <si>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</si>
  <si>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</si>
  <si>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</si>
  <si>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</si>
  <si>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</si>
  <si>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</si>
  <si>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</si>
  <si>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</si>
  <si>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</si>
  <si>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</si>
  <si>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</si>
  <si>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</si>
  <si>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</si>
  <si>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</si>
  <si>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</si>
  <si>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</si>
  <si>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</si>
  <si>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</si>
  <si>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</si>
  <si>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</si>
  <si>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</si>
  <si>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</si>
  <si>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</si>
  <si>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</si>
  <si>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</si>
  <si>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</si>
  <si>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</si>
  <si>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</si>
  <si>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</si>
  <si>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</si>
  <si>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</si>
  <si>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</si>
  <si>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</si>
  <si>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</si>
  <si>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</si>
  <si>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</si>
  <si>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</si>
  <si>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</si>
  <si>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</si>
  <si>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</si>
  <si>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</si>
  <si>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</si>
  <si>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</si>
  <si>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</si>
  <si>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</si>
  <si>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</si>
  <si>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</si>
  <si>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</si>
  <si>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</si>
  <si>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</si>
  <si>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</si>
  <si>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</si>
  <si>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</si>
  <si>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</si>
  <si>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</si>
  <si>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</si>
  <si>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</si>
  <si>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</si>
  <si>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</si>
  <si>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</si>
  <si>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</si>
  <si>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</si>
  <si>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</si>
  <si>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</si>
  <si>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</si>
  <si>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</si>
  <si>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</si>
  <si>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</si>
  <si>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</si>
  <si>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</si>
  <si>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</si>
  <si>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</si>
  <si>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</si>
  <si>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</si>
  <si>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</si>
  <si>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</si>
  <si>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</si>
  <si>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</si>
  <si>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</si>
  <si>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</si>
  <si>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</si>
  <si>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</si>
  <si>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</si>
  <si>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</si>
  <si>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</si>
  <si>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</si>
  <si>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</si>
  <si>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</si>
  <si>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</si>
  <si>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</si>
  <si>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</si>
  <si>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</si>
  <si>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</si>
  <si>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</si>
  <si>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</si>
  <si>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</si>
  <si>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</si>
  <si>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</si>
  <si>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</si>
  <si>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</si>
  <si>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</si>
  <si>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</si>
  <si>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</si>
  <si>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</si>
  <si>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</si>
  <si>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</si>
  <si>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</si>
  <si>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</si>
  <si>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</si>
  <si>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</si>
  <si>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</si>
  <si>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</si>
  <si>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</si>
  <si>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</si>
  <si>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</si>
  <si>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</si>
  <si>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</si>
  <si>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</si>
  <si>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</si>
  <si>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</si>
  <si>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</si>
  <si>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</si>
  <si>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</si>
  <si>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</si>
  <si>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</si>
  <si>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</si>
  <si>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</si>
  <si>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</si>
  <si>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</si>
  <si>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</si>
  <si>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</si>
  <si>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</si>
  <si>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</si>
  <si>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</si>
  <si>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</si>
  <si>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</si>
  <si>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</si>
  <si>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</si>
  <si>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</si>
  <si>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</si>
  <si>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</si>
  <si>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</si>
  <si>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</si>
  <si>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</si>
  <si>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</si>
  <si>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</si>
  <si>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</si>
  <si>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</si>
  <si>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</si>
  <si>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</si>
  <si>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</si>
  <si>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</si>
  <si>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</si>
  <si>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</si>
  <si>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</si>
  <si>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</si>
  <si>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</si>
  <si>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</si>
  <si>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</si>
  <si>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</si>
  <si>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</si>
  <si>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</si>
  <si>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</si>
  <si>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</si>
  <si>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</si>
  <si>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</si>
  <si>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</si>
  <si>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</si>
  <si>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</si>
  <si>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</si>
  <si>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</si>
  <si>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</si>
  <si>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</si>
  <si>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</si>
  <si>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</si>
  <si>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</si>
  <si>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</si>
  <si>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</si>
  <si>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</si>
  <si>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</si>
  <si>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</si>
  <si>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</si>
  <si>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</si>
  <si>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</si>
  <si>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</si>
  <si>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</si>
  <si>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</si>
  <si>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</si>
  <si>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</si>
  <si>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</si>
  <si>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</si>
  <si>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</si>
  <si>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</si>
  <si>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</si>
  <si>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</si>
  <si>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</si>
  <si>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</si>
  <si>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</si>
  <si>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</si>
  <si>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</si>
  <si>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</si>
  <si>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</si>
  <si>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</si>
  <si>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</si>
  <si>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</si>
  <si>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</si>
  <si>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</si>
  <si>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</si>
  <si>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</si>
  <si>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</si>
  <si>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</si>
  <si>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</si>
  <si>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</si>
  <si>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</si>
  <si>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</si>
  <si>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</si>
  <si>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</si>
  <si>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</si>
  <si>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</si>
  <si>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</si>
  <si>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</si>
  <si>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</si>
  <si>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</si>
  <si>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</si>
  <si>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</si>
  <si>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</si>
  <si>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</si>
  <si>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</si>
  <si>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</si>
  <si>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</si>
  <si>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</si>
  <si>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</si>
  <si>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</si>
  <si>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</si>
  <si>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</si>
  <si>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</si>
  <si>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</si>
  <si>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</si>
  <si>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</si>
  <si>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</si>
  <si>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</si>
  <si>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</si>
  <si>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</si>
  <si>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</si>
  <si>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</si>
  <si>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</si>
  <si>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</si>
  <si>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</si>
  <si>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</si>
  <si>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</si>
  <si>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</si>
  <si>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</si>
  <si>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</si>
  <si>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</si>
  <si>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</si>
  <si>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</si>
  <si>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</si>
  <si>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</si>
  <si>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</si>
  <si>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</si>
  <si>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</si>
  <si>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</si>
  <si>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</si>
  <si>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</si>
  <si>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</si>
  <si>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</si>
  <si>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</si>
  <si>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</si>
  <si>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</si>
  <si>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</si>
  <si>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</si>
  <si>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</si>
  <si>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</si>
  <si>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</si>
  <si>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</si>
  <si>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</si>
  <si>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</si>
  <si>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</si>
  <si>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</si>
  <si>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</si>
  <si>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</si>
  <si>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</si>
  <si>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</si>
  <si>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</si>
  <si>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</si>
  <si>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</si>
  <si>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</si>
  <si>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</si>
  <si>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</si>
  <si>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</si>
  <si>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</si>
  <si>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</si>
  <si>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</si>
  <si>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</si>
  <si>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</si>
  <si>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</si>
  <si>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</si>
  <si>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</si>
  <si>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</si>
  <si>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</si>
  <si>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</si>
  <si>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</si>
  <si>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</si>
  <si>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</si>
  <si>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</si>
  <si>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</si>
  <si>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</si>
  <si>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</si>
  <si>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</si>
  <si>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</si>
  <si>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</si>
  <si>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</si>
  <si>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</si>
  <si>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</si>
  <si>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</si>
  <si>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</si>
  <si>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</si>
  <si>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</si>
  <si>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</si>
  <si>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</si>
  <si>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</si>
  <si>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</si>
  <si>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</si>
  <si>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</si>
  <si>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</si>
  <si>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</si>
  <si>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</si>
  <si>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</si>
  <si>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</si>
  <si>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</si>
  <si>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</si>
  <si>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</si>
  <si>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</si>
  <si>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</si>
  <si>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</si>
  <si>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</si>
  <si>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</si>
  <si>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</si>
  <si>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</si>
  <si>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</si>
  <si>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</si>
  <si>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</si>
  <si>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</si>
  <si>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</si>
  <si>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</si>
  <si>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</si>
  <si>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</si>
  <si>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</si>
  <si>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</si>
  <si>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</si>
  <si>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</si>
  <si>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</si>
  <si>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</si>
  <si>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</si>
  <si>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</si>
  <si>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</si>
  <si>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</si>
  <si>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</si>
  <si>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</si>
  <si>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</si>
  <si>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</si>
  <si>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</si>
  <si>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</si>
  <si>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</si>
  <si>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</si>
  <si>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</si>
  <si>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</si>
  <si>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</si>
  <si>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</si>
  <si>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</si>
  <si>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</si>
  <si>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</si>
  <si>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</si>
  <si>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</si>
  <si>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</si>
  <si>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</si>
  <si>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</si>
  <si>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</si>
  <si>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</si>
  <si>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</si>
  <si>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</si>
  <si>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</si>
  <si>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</si>
  <si>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</si>
  <si>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</si>
  <si>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</si>
  <si>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</si>
  <si>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</si>
  <si>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</si>
  <si>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</si>
  <si>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</si>
  <si>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</si>
  <si>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</si>
  <si>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</si>
  <si>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</si>
  <si>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</si>
  <si>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</si>
  <si>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</si>
  <si>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</si>
  <si>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</si>
  <si>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</si>
  <si>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</si>
  <si>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</si>
  <si>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</si>
  <si>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</si>
  <si>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</si>
  <si>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</si>
  <si>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</si>
  <si>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</si>
  <si>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</si>
  <si>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</si>
  <si>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</si>
  <si>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</si>
  <si>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</si>
  <si>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</si>
  <si>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</si>
  <si>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</si>
  <si>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</si>
  <si>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</si>
  <si>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</si>
  <si>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</si>
  <si>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</si>
  <si>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</si>
  <si>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</si>
  <si>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</si>
  <si>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</si>
  <si>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</si>
  <si>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</si>
  <si>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</si>
  <si>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</si>
  <si>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</si>
  <si>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</si>
  <si>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</si>
  <si>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</si>
  <si>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</si>
  <si>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</si>
  <si>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</si>
  <si>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</si>
  <si>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</si>
  <si>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</si>
  <si>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</si>
  <si>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</si>
  <si>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</si>
  <si>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UPC</t>
  </si>
  <si>
    <t xml:space="preserve">San Ignacio </t>
  </si>
  <si>
    <t>CMunoz@upc.cl</t>
  </si>
  <si>
    <t>Cesar Muñoz</t>
  </si>
  <si>
    <t>2 2730 0996</t>
  </si>
  <si>
    <t>11.111.111-1</t>
  </si>
  <si>
    <t>Union tubo 12 mm                                   1075</t>
  </si>
  <si>
    <t>Union macho 10x 1/2 MP                    10151431</t>
  </si>
  <si>
    <t>union tubo reduccion 8x6                     10191978</t>
  </si>
  <si>
    <t>Union macho 10x 1/4 MP                    10150878</t>
  </si>
  <si>
    <t>Union macho 8x 1/4 MP                       10150881</t>
  </si>
  <si>
    <t>Union macho 10x 1/8 MP                    10150882</t>
  </si>
  <si>
    <t>Union Y 4 mm                                               10175176</t>
  </si>
  <si>
    <t>codo  macho 10x 1/8 MP                      10177668</t>
  </si>
  <si>
    <t>codo  macho 3/8x 1/8 MP                    10151430</t>
  </si>
  <si>
    <t>tee central  12x1/2                                  10150887</t>
  </si>
  <si>
    <t>tee central  10x1/4                                  10151369</t>
  </si>
  <si>
    <t>Union tee  10                                                10151366</t>
  </si>
  <si>
    <t>tee central  10x3/8                                  10151370</t>
  </si>
  <si>
    <t>Union tee   8                                                 10181631</t>
  </si>
  <si>
    <t>Union Y 12x1/4                                           10150790</t>
  </si>
  <si>
    <t>Union Y 10x12                                             10151357</t>
  </si>
  <si>
    <t>codo hembra 6x1/8                                 10196705</t>
  </si>
  <si>
    <t>pasamuro 10                                                10271036</t>
  </si>
  <si>
    <t>pasamuro 10-8                                           10271022</t>
  </si>
  <si>
    <t>pasamuro 12                                                10271035</t>
  </si>
  <si>
    <t>pasamuro 12-10                                         10271021</t>
  </si>
  <si>
    <t>pasamuro 6                                                   10271020</t>
  </si>
  <si>
    <t>pasamuro 6-4                                              10271024</t>
  </si>
  <si>
    <t>pasamuro 8                                                   10271019</t>
  </si>
  <si>
    <t>union tubo reduccion 10x8                  10191982</t>
  </si>
  <si>
    <t>pasamuro 8-6                                                10271023</t>
  </si>
  <si>
    <t>importpert</t>
  </si>
  <si>
    <t>hidro</t>
  </si>
  <si>
    <t>taylor</t>
  </si>
  <si>
    <t>tubotec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</si>
</sst>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3" xfId="0" applyFont="1" applyFill="1" applyBorder="1" applyAlignment="1" applyProtection="1">
      <alignment/>
      <protection locked="0"/>
    </xf>
    <xf numFmtId="0" fontId="54" fillId="33" borderId="25" xfId="0" applyNumberFormat="1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 horizontal="center"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27" xfId="0" applyFont="1" applyFill="1" applyBorder="1" applyAlignment="1" applyProtection="1">
      <alignment horizontal="right"/>
      <protection locked="0"/>
    </xf>
    <xf numFmtId="1" fontId="54" fillId="33" borderId="28" xfId="0" applyNumberFormat="1" applyFont="1" applyFill="1" applyBorder="1" applyAlignment="1" applyProtection="1">
      <alignment horizontal="center"/>
      <protection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29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0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23" xfId="0" applyFont="1" applyFill="1" applyBorder="1" applyAlignment="1" applyProtection="1">
      <alignment horizontal="right" vertical="center"/>
      <protection locked="0"/>
    </xf>
    <xf numFmtId="0" fontId="54" fillId="33" borderId="33" xfId="0" applyFont="1" applyFill="1" applyBorder="1" applyAlignment="1" applyProtection="1">
      <alignment horizontal="right"/>
      <protection locked="0"/>
    </xf>
    <xf numFmtId="1" fontId="54" fillId="33" borderId="34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4" fillId="33" borderId="35" xfId="0" applyNumberFormat="1" applyFont="1" applyFill="1" applyBorder="1" applyAlignment="1" applyProtection="1">
      <alignment horizontal="center"/>
      <protection/>
    </xf>
    <xf numFmtId="166" fontId="54" fillId="33" borderId="35" xfId="0" applyNumberFormat="1" applyFont="1" applyFill="1" applyBorder="1" applyAlignment="1" applyProtection="1">
      <alignment horizontal="center"/>
      <protection locked="0"/>
    </xf>
    <xf numFmtId="166" fontId="54" fillId="33" borderId="31" xfId="0" applyNumberFormat="1" applyFont="1" applyFill="1" applyBorder="1" applyAlignment="1" applyProtection="1">
      <alignment horizontal="center"/>
      <protection/>
    </xf>
    <xf numFmtId="0" fontId="40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4" xfId="0" applyFont="1" applyFill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/>
      <protection locked="0"/>
    </xf>
    <xf numFmtId="0" fontId="29" fillId="33" borderId="23" xfId="0" applyFont="1" applyFill="1" applyBorder="1" applyAlignment="1" applyProtection="1">
      <alignment/>
      <protection locked="0"/>
    </xf>
    <xf numFmtId="164" fontId="29" fillId="33" borderId="31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33" borderId="36" xfId="0" applyNumberFormat="1" applyFont="1" applyFill="1" applyBorder="1" applyAlignment="1" applyProtection="1">
      <alignment horizontal="center"/>
      <protection locked="0"/>
    </xf>
    <xf numFmtId="0" fontId="27" fillId="33" borderId="36" xfId="0" applyFont="1" applyFill="1" applyBorder="1" applyAlignment="1" applyProtection="1">
      <alignment horizontal="center"/>
      <protection locked="0"/>
    </xf>
    <xf numFmtId="0" fontId="27" fillId="33" borderId="36" xfId="0" applyFont="1" applyFill="1" applyBorder="1" applyAlignment="1" applyProtection="1">
      <alignment/>
      <protection locked="0"/>
    </xf>
    <xf numFmtId="166" fontId="27" fillId="33" borderId="36" xfId="0" applyNumberFormat="1" applyFont="1" applyFill="1" applyBorder="1" applyAlignment="1" applyProtection="1">
      <alignment horizontal="center"/>
      <protection locked="0"/>
    </xf>
    <xf numFmtId="0" fontId="27" fillId="33" borderId="25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 horizontal="center"/>
      <protection locked="0"/>
    </xf>
    <xf numFmtId="0" fontId="27" fillId="33" borderId="25" xfId="0" applyFont="1" applyFill="1" applyBorder="1" applyAlignment="1" applyProtection="1">
      <alignment/>
      <protection locked="0"/>
    </xf>
    <xf numFmtId="166" fontId="27" fillId="33" borderId="25" xfId="0" applyNumberFormat="1" applyFont="1" applyFill="1" applyBorder="1" applyAlignment="1" applyProtection="1">
      <alignment horizontal="center"/>
      <protection/>
    </xf>
    <xf numFmtId="166" fontId="27" fillId="33" borderId="25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45" applyFont="1" applyAlignment="1">
      <alignment/>
    </xf>
    <xf numFmtId="0" fontId="27" fillId="33" borderId="24" xfId="0" applyFont="1" applyFill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/>
      <protection locked="0"/>
    </xf>
    <xf numFmtId="0" fontId="58" fillId="33" borderId="25" xfId="0" applyNumberFormat="1" applyFont="1" applyFill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 horizontal="center"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0" borderId="4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CMunoz@upc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42"/>
  <sheetViews>
    <sheetView tabSelected="1" zoomScalePageLayoutView="0" workbookViewId="0" topLeftCell="B1">
      <selection activeCell="M2" sqref="M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hidden="1" customWidth="1"/>
    <col min="15" max="15" width="10.00390625" style="8" customWidth="1"/>
    <col min="16" max="16" width="7.421875" style="8" bestFit="1" customWidth="1"/>
    <col min="17" max="17" width="4.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1978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74" t="s">
        <v>6</v>
      </c>
      <c r="C4" s="75"/>
      <c r="D4" s="76" t="s">
        <v>606</v>
      </c>
      <c r="E4" s="75" t="s">
        <v>12</v>
      </c>
      <c r="F4" s="77"/>
      <c r="G4" s="77"/>
      <c r="H4" s="78"/>
      <c r="I4" s="75" t="s">
        <v>9</v>
      </c>
      <c r="J4" s="79" t="str">
        <f>VLOOKUP(D4,CLIENTES,10,FALSE)</f>
        <v>2 2730 0996</v>
      </c>
      <c r="K4" s="20"/>
    </row>
    <row r="5" spans="2:11" ht="15">
      <c r="B5" s="80"/>
      <c r="C5" s="81"/>
      <c r="D5" s="82"/>
      <c r="E5" s="126" t="str">
        <f>VLOOKUP(D4,CLIENTES,4,FALSE)</f>
        <v>San Ignacio </v>
      </c>
      <c r="F5" s="126"/>
      <c r="G5" s="126"/>
      <c r="H5" s="126"/>
      <c r="I5" s="126"/>
      <c r="J5" s="127"/>
      <c r="K5" s="20"/>
    </row>
    <row r="6" spans="2:10" ht="17.25" customHeight="1">
      <c r="B6" s="80" t="s">
        <v>27</v>
      </c>
      <c r="C6" s="81"/>
      <c r="D6" s="83" t="str">
        <f>VLOOKUP(D4,CLIENTES,2,FALSE)</f>
        <v>UPC</v>
      </c>
      <c r="E6" s="81" t="s">
        <v>7</v>
      </c>
      <c r="F6" s="126" t="str">
        <f>VLOOKUP(D4,CLIENTES,5,FALSE)</f>
        <v>QUILICURA</v>
      </c>
      <c r="G6" s="126"/>
      <c r="H6" s="126"/>
      <c r="I6" s="84" t="str">
        <f>VLOOKUP(D4,CLIENTES,11,FALSE)</f>
        <v>CMunoz@upc.cl</v>
      </c>
      <c r="J6" s="85"/>
    </row>
    <row r="7" spans="2:10" ht="15">
      <c r="B7" s="80" t="s">
        <v>25</v>
      </c>
      <c r="C7" s="81"/>
      <c r="D7" s="83">
        <f>VLOOKUP(D4,CLIENTES,3,FALSE)</f>
        <v>0</v>
      </c>
      <c r="E7" s="81" t="s">
        <v>8</v>
      </c>
      <c r="F7" s="126" t="str">
        <f>VLOOKUP(D4,CLIENTES,6,FALSE)</f>
        <v>STGO</v>
      </c>
      <c r="G7" s="126"/>
      <c r="H7" s="126"/>
      <c r="I7" s="81" t="s">
        <v>26</v>
      </c>
      <c r="J7" s="86" t="str">
        <f>VLOOKUP(D4,CLIENTES,8,FALSE)</f>
        <v>Cesar Muñoz</v>
      </c>
    </row>
    <row r="8" spans="2:12" ht="15.75" thickBot="1">
      <c r="B8" s="124" t="s">
        <v>28</v>
      </c>
      <c r="C8" s="125"/>
      <c r="D8" s="83">
        <f>VLOOKUP(D4,CLIENTES,7,FALSE)</f>
        <v>0</v>
      </c>
      <c r="E8" s="81" t="s">
        <v>11</v>
      </c>
      <c r="F8" s="126">
        <f>VLOOKUP(D4,CLIENTES,12,FALSE)</f>
        <v>0</v>
      </c>
      <c r="G8" s="126"/>
      <c r="H8" s="126"/>
      <c r="I8" s="81" t="s">
        <v>14</v>
      </c>
      <c r="J8" s="87">
        <f ca="1">TODAY()</f>
        <v>41893</v>
      </c>
      <c r="K8" s="20"/>
      <c r="L8" s="20"/>
    </row>
    <row r="9" spans="2:19" ht="16.5" thickBot="1" thickTop="1">
      <c r="B9" s="88"/>
      <c r="C9" s="89"/>
      <c r="D9" s="90"/>
      <c r="E9" s="89"/>
      <c r="F9" s="90"/>
      <c r="G9" s="90"/>
      <c r="H9" s="90"/>
      <c r="I9" s="89"/>
      <c r="J9" s="91"/>
      <c r="K9" s="20"/>
      <c r="L9" s="20"/>
      <c r="Q9" s="21"/>
      <c r="R9" s="22" t="s">
        <v>21</v>
      </c>
      <c r="S9" s="23" t="s">
        <v>22</v>
      </c>
    </row>
    <row r="10" spans="2:19" ht="15.75" thickBot="1">
      <c r="B10" s="92" t="s">
        <v>1</v>
      </c>
      <c r="C10" s="118" t="s">
        <v>24</v>
      </c>
      <c r="D10" s="119"/>
      <c r="E10" s="120"/>
      <c r="F10" s="93" t="s">
        <v>0</v>
      </c>
      <c r="G10" s="94" t="s">
        <v>23</v>
      </c>
      <c r="H10" s="116" t="s">
        <v>15</v>
      </c>
      <c r="I10" s="95" t="s">
        <v>13</v>
      </c>
      <c r="J10" s="117" t="s">
        <v>2</v>
      </c>
      <c r="K10" s="24" t="s">
        <v>18</v>
      </c>
      <c r="L10" s="25" t="s">
        <v>633</v>
      </c>
      <c r="M10" s="25" t="s">
        <v>634</v>
      </c>
      <c r="N10" s="25" t="s">
        <v>635</v>
      </c>
      <c r="O10" s="25" t="s">
        <v>635</v>
      </c>
      <c r="P10" s="25" t="s">
        <v>636</v>
      </c>
      <c r="Q10" s="26" t="s">
        <v>16</v>
      </c>
      <c r="R10" s="25" t="s">
        <v>19</v>
      </c>
      <c r="S10" s="27" t="s">
        <v>20</v>
      </c>
    </row>
    <row r="11" spans="2:19" ht="15">
      <c r="B11" s="96">
        <v>1</v>
      </c>
      <c r="C11" s="121" t="s">
        <v>607</v>
      </c>
      <c r="D11" s="122"/>
      <c r="E11" s="123"/>
      <c r="F11" s="97">
        <v>1</v>
      </c>
      <c r="G11" s="98" t="s">
        <v>23</v>
      </c>
      <c r="H11" s="106">
        <f>+S11</f>
        <v>977.1999999999999</v>
      </c>
      <c r="I11" s="99"/>
      <c r="J11" s="108">
        <f aca="true" t="shared" si="0" ref="J11:J36">F11*H11*(1-I11/100)</f>
        <v>977.1999999999999</v>
      </c>
      <c r="K11" s="28">
        <v>1</v>
      </c>
      <c r="L11" s="29">
        <v>698</v>
      </c>
      <c r="M11" s="29"/>
      <c r="N11" s="29"/>
      <c r="O11" s="29"/>
      <c r="P11" s="29"/>
      <c r="Q11" s="30">
        <v>1.4</v>
      </c>
      <c r="R11" s="31">
        <f aca="true" t="shared" si="1" ref="R11:R16">L11</f>
        <v>698</v>
      </c>
      <c r="S11" s="34">
        <f>R11*Q11</f>
        <v>977.1999999999999</v>
      </c>
    </row>
    <row r="12" spans="2:19" ht="15">
      <c r="B12" s="100">
        <v>2</v>
      </c>
      <c r="C12" s="101" t="s">
        <v>608</v>
      </c>
      <c r="D12" s="102"/>
      <c r="E12" s="103"/>
      <c r="F12" s="104">
        <v>1</v>
      </c>
      <c r="G12" s="105" t="s">
        <v>23</v>
      </c>
      <c r="H12" s="106">
        <f>+S12</f>
        <v>1323</v>
      </c>
      <c r="I12" s="107"/>
      <c r="J12" s="108">
        <f t="shared" si="0"/>
        <v>1323</v>
      </c>
      <c r="K12" s="28">
        <v>2</v>
      </c>
      <c r="L12" s="29">
        <v>945</v>
      </c>
      <c r="M12" s="29"/>
      <c r="N12" s="29"/>
      <c r="O12" s="29"/>
      <c r="P12" s="29"/>
      <c r="Q12" s="30">
        <v>1.4</v>
      </c>
      <c r="R12" s="31">
        <f t="shared" si="1"/>
        <v>945</v>
      </c>
      <c r="S12" s="34">
        <f aca="true" t="shared" si="2" ref="S12:S37">R12*Q12</f>
        <v>1323</v>
      </c>
    </row>
    <row r="13" spans="2:19" ht="15">
      <c r="B13" s="100">
        <v>2</v>
      </c>
      <c r="C13" s="101" t="s">
        <v>610</v>
      </c>
      <c r="D13" s="109"/>
      <c r="E13" s="103"/>
      <c r="F13" s="104">
        <v>1</v>
      </c>
      <c r="G13" s="105" t="s">
        <v>23</v>
      </c>
      <c r="H13" s="106">
        <f aca="true" t="shared" si="3" ref="H13:H36">+S13</f>
        <v>982.8</v>
      </c>
      <c r="I13" s="107"/>
      <c r="J13" s="108">
        <f t="shared" si="0"/>
        <v>982.8</v>
      </c>
      <c r="K13" s="28">
        <v>3</v>
      </c>
      <c r="L13" s="29">
        <v>702</v>
      </c>
      <c r="M13" s="29"/>
      <c r="N13" s="29"/>
      <c r="O13" s="29"/>
      <c r="P13" s="29"/>
      <c r="Q13" s="30">
        <v>1.4</v>
      </c>
      <c r="R13" s="31">
        <f t="shared" si="1"/>
        <v>702</v>
      </c>
      <c r="S13" s="34">
        <f t="shared" si="2"/>
        <v>982.8</v>
      </c>
    </row>
    <row r="14" spans="2:19" ht="15">
      <c r="B14" s="100">
        <v>4</v>
      </c>
      <c r="C14" s="101" t="s">
        <v>611</v>
      </c>
      <c r="D14" s="102"/>
      <c r="E14" s="103"/>
      <c r="F14" s="104">
        <v>1</v>
      </c>
      <c r="G14" s="105" t="s">
        <v>23</v>
      </c>
      <c r="H14" s="106">
        <f t="shared" si="3"/>
        <v>638.4</v>
      </c>
      <c r="I14" s="107"/>
      <c r="J14" s="108">
        <f t="shared" si="0"/>
        <v>638.4</v>
      </c>
      <c r="K14" s="28">
        <v>4</v>
      </c>
      <c r="L14" s="29">
        <v>456</v>
      </c>
      <c r="M14" s="29"/>
      <c r="N14" s="29"/>
      <c r="O14" s="29"/>
      <c r="P14" s="29"/>
      <c r="Q14" s="30">
        <v>1.4</v>
      </c>
      <c r="R14" s="31">
        <f t="shared" si="1"/>
        <v>456</v>
      </c>
      <c r="S14" s="34">
        <f t="shared" si="2"/>
        <v>638.4</v>
      </c>
    </row>
    <row r="15" spans="2:19" ht="15">
      <c r="B15" s="100">
        <v>5</v>
      </c>
      <c r="C15" s="101" t="s">
        <v>612</v>
      </c>
      <c r="D15" s="102"/>
      <c r="E15" s="103"/>
      <c r="F15" s="104">
        <v>1</v>
      </c>
      <c r="G15" s="105" t="s">
        <v>23</v>
      </c>
      <c r="H15" s="106">
        <f t="shared" si="3"/>
        <v>957.5999999999999</v>
      </c>
      <c r="I15" s="107">
        <v>0</v>
      </c>
      <c r="J15" s="108">
        <f>F15*H15*(1-I15/100)</f>
        <v>957.5999999999999</v>
      </c>
      <c r="K15" s="28">
        <v>5</v>
      </c>
      <c r="L15" s="29">
        <v>684</v>
      </c>
      <c r="M15" s="29"/>
      <c r="N15" s="29"/>
      <c r="O15" s="29"/>
      <c r="P15" s="29"/>
      <c r="Q15" s="30">
        <v>1.4</v>
      </c>
      <c r="R15" s="31">
        <f t="shared" si="1"/>
        <v>684</v>
      </c>
      <c r="S15" s="34">
        <f t="shared" si="2"/>
        <v>957.5999999999999</v>
      </c>
    </row>
    <row r="16" spans="2:19" ht="15">
      <c r="B16" s="41">
        <v>6</v>
      </c>
      <c r="C16" s="101" t="s">
        <v>614</v>
      </c>
      <c r="D16"/>
      <c r="E16"/>
      <c r="F16" s="104">
        <v>1</v>
      </c>
      <c r="G16" s="105" t="s">
        <v>23</v>
      </c>
      <c r="H16" s="106">
        <f t="shared" si="3"/>
        <v>1209.6</v>
      </c>
      <c r="I16" s="107">
        <v>0</v>
      </c>
      <c r="J16" s="108">
        <f t="shared" si="0"/>
        <v>1209.6</v>
      </c>
      <c r="K16" s="28">
        <v>6</v>
      </c>
      <c r="L16" s="29">
        <v>864</v>
      </c>
      <c r="M16" s="29"/>
      <c r="N16" s="29"/>
      <c r="O16" s="29"/>
      <c r="P16" s="29"/>
      <c r="Q16" s="30">
        <v>1.4</v>
      </c>
      <c r="R16" s="31">
        <f t="shared" si="1"/>
        <v>864</v>
      </c>
      <c r="S16" s="34">
        <f t="shared" si="2"/>
        <v>1209.6</v>
      </c>
    </row>
    <row r="17" spans="2:19" ht="15">
      <c r="B17" s="41">
        <v>7</v>
      </c>
      <c r="C17" s="101" t="s">
        <v>615</v>
      </c>
      <c r="D17" s="42"/>
      <c r="E17" s="43"/>
      <c r="F17" s="104">
        <v>1</v>
      </c>
      <c r="G17" s="105" t="s">
        <v>23</v>
      </c>
      <c r="H17" s="106">
        <f t="shared" si="3"/>
        <v>2015.9999999999998</v>
      </c>
      <c r="I17" s="107">
        <v>0</v>
      </c>
      <c r="J17" s="108">
        <f t="shared" si="0"/>
        <v>2015.9999999999998</v>
      </c>
      <c r="K17" s="28">
        <v>7</v>
      </c>
      <c r="L17" s="29"/>
      <c r="M17" s="29"/>
      <c r="N17" s="29"/>
      <c r="O17" s="29"/>
      <c r="P17" s="29">
        <v>1800</v>
      </c>
      <c r="Q17" s="30">
        <v>1.4</v>
      </c>
      <c r="R17" s="31">
        <f>P17*(1-0.2)</f>
        <v>1440</v>
      </c>
      <c r="S17" s="34">
        <f t="shared" si="2"/>
        <v>2015.9999999999998</v>
      </c>
    </row>
    <row r="18" spans="2:19" ht="15">
      <c r="B18" s="41">
        <v>8</v>
      </c>
      <c r="C18" s="101" t="s">
        <v>616</v>
      </c>
      <c r="D18" s="102"/>
      <c r="E18" s="103"/>
      <c r="F18" s="104">
        <v>1</v>
      </c>
      <c r="G18" s="105" t="s">
        <v>23</v>
      </c>
      <c r="H18" s="106">
        <f t="shared" si="3"/>
        <v>2620.7999999999997</v>
      </c>
      <c r="I18" s="107">
        <v>0</v>
      </c>
      <c r="J18" s="108">
        <f t="shared" si="0"/>
        <v>2620.7999999999997</v>
      </c>
      <c r="K18" s="28">
        <v>8</v>
      </c>
      <c r="L18" s="29">
        <v>1872</v>
      </c>
      <c r="M18" s="29"/>
      <c r="N18" s="29"/>
      <c r="O18" s="29"/>
      <c r="P18" s="29"/>
      <c r="Q18" s="30">
        <v>1.4</v>
      </c>
      <c r="R18" s="31">
        <f aca="true" t="shared" si="4" ref="R18:R23">L18</f>
        <v>1872</v>
      </c>
      <c r="S18" s="34">
        <f t="shared" si="2"/>
        <v>2620.7999999999997</v>
      </c>
    </row>
    <row r="19" spans="2:19" ht="15">
      <c r="B19" s="41">
        <v>9</v>
      </c>
      <c r="C19" s="101" t="s">
        <v>617</v>
      </c>
      <c r="D19" s="102"/>
      <c r="E19" s="103"/>
      <c r="F19" s="104">
        <v>1</v>
      </c>
      <c r="G19" s="105" t="s">
        <v>23</v>
      </c>
      <c r="H19" s="106">
        <f t="shared" si="3"/>
        <v>2283.3999999999996</v>
      </c>
      <c r="I19" s="107">
        <v>0</v>
      </c>
      <c r="J19" s="108">
        <f t="shared" si="0"/>
        <v>2283.3999999999996</v>
      </c>
      <c r="K19" s="28">
        <v>9</v>
      </c>
      <c r="L19" s="29">
        <v>1631</v>
      </c>
      <c r="M19" s="29"/>
      <c r="N19" s="29"/>
      <c r="O19" s="29"/>
      <c r="P19" s="29"/>
      <c r="Q19" s="30">
        <v>1.4</v>
      </c>
      <c r="R19" s="31">
        <f t="shared" si="4"/>
        <v>1631</v>
      </c>
      <c r="S19" s="34">
        <f t="shared" si="2"/>
        <v>2283.3999999999996</v>
      </c>
    </row>
    <row r="20" spans="2:19" ht="15">
      <c r="B20" s="41">
        <v>10</v>
      </c>
      <c r="C20" s="101" t="s">
        <v>618</v>
      </c>
      <c r="D20" s="102"/>
      <c r="E20" s="103"/>
      <c r="F20" s="104">
        <v>1</v>
      </c>
      <c r="G20" s="105" t="s">
        <v>23</v>
      </c>
      <c r="H20" s="106">
        <f t="shared" si="3"/>
        <v>982.8</v>
      </c>
      <c r="I20" s="107">
        <v>0</v>
      </c>
      <c r="J20" s="108">
        <f>F20*H20*(1-I20/100)</f>
        <v>982.8</v>
      </c>
      <c r="K20" s="28">
        <v>10</v>
      </c>
      <c r="L20" s="29">
        <v>702</v>
      </c>
      <c r="M20" s="29"/>
      <c r="N20" s="29"/>
      <c r="O20" s="29"/>
      <c r="P20" s="29"/>
      <c r="Q20" s="30">
        <v>1.4</v>
      </c>
      <c r="R20" s="31">
        <f t="shared" si="4"/>
        <v>702</v>
      </c>
      <c r="S20" s="34">
        <f t="shared" si="2"/>
        <v>982.8</v>
      </c>
    </row>
    <row r="21" spans="2:19" ht="15">
      <c r="B21" s="41">
        <v>11</v>
      </c>
      <c r="C21" s="101" t="s">
        <v>619</v>
      </c>
      <c r="D21" s="102"/>
      <c r="E21" s="103"/>
      <c r="F21" s="104">
        <v>1</v>
      </c>
      <c r="G21" s="105" t="s">
        <v>23</v>
      </c>
      <c r="H21" s="106">
        <f t="shared" si="3"/>
        <v>2405.2</v>
      </c>
      <c r="I21" s="107">
        <v>0</v>
      </c>
      <c r="J21" s="108">
        <f t="shared" si="0"/>
        <v>2405.2</v>
      </c>
      <c r="K21" s="28">
        <v>11</v>
      </c>
      <c r="L21" s="29">
        <v>1718</v>
      </c>
      <c r="M21" s="29"/>
      <c r="N21" s="29"/>
      <c r="O21" s="29"/>
      <c r="P21" s="29"/>
      <c r="Q21" s="30">
        <v>1.4</v>
      </c>
      <c r="R21" s="31">
        <f t="shared" si="4"/>
        <v>1718</v>
      </c>
      <c r="S21" s="34">
        <f t="shared" si="2"/>
        <v>2405.2</v>
      </c>
    </row>
    <row r="22" spans="2:19" ht="15">
      <c r="B22" s="41">
        <v>12</v>
      </c>
      <c r="C22" s="101" t="s">
        <v>620</v>
      </c>
      <c r="D22" s="102"/>
      <c r="E22" s="103"/>
      <c r="F22" s="104">
        <v>1</v>
      </c>
      <c r="G22" s="105" t="s">
        <v>23</v>
      </c>
      <c r="H22" s="106">
        <f t="shared" si="3"/>
        <v>951.9999999999999</v>
      </c>
      <c r="I22" s="107">
        <v>0</v>
      </c>
      <c r="J22" s="108">
        <f t="shared" si="0"/>
        <v>951.9999999999999</v>
      </c>
      <c r="K22" s="28">
        <v>12</v>
      </c>
      <c r="L22" s="29">
        <v>680</v>
      </c>
      <c r="M22" s="29"/>
      <c r="N22" s="29"/>
      <c r="O22" s="29"/>
      <c r="P22" s="29"/>
      <c r="Q22" s="30">
        <v>1.4</v>
      </c>
      <c r="R22" s="31">
        <f t="shared" si="4"/>
        <v>680</v>
      </c>
      <c r="S22" s="34">
        <f t="shared" si="2"/>
        <v>951.9999999999999</v>
      </c>
    </row>
    <row r="23" spans="2:19" ht="15">
      <c r="B23" s="41">
        <v>13</v>
      </c>
      <c r="C23" s="101" t="s">
        <v>621</v>
      </c>
      <c r="D23" s="102"/>
      <c r="E23" s="103"/>
      <c r="F23" s="104">
        <v>1</v>
      </c>
      <c r="G23" s="105" t="s">
        <v>23</v>
      </c>
      <c r="H23" s="106">
        <f t="shared" si="3"/>
        <v>4273.5</v>
      </c>
      <c r="I23" s="107">
        <v>0</v>
      </c>
      <c r="J23" s="108">
        <f t="shared" si="0"/>
        <v>4273.5</v>
      </c>
      <c r="K23" s="28">
        <v>13</v>
      </c>
      <c r="L23" s="29">
        <v>2068</v>
      </c>
      <c r="M23" s="29"/>
      <c r="N23" s="29">
        <f>2020+2050</f>
        <v>4070</v>
      </c>
      <c r="O23" s="29">
        <f>+N23*(1-0.25)</f>
        <v>3052.5</v>
      </c>
      <c r="P23" s="29"/>
      <c r="Q23" s="30">
        <v>1.4</v>
      </c>
      <c r="R23" s="31">
        <f>+O23</f>
        <v>3052.5</v>
      </c>
      <c r="S23" s="34">
        <f t="shared" si="2"/>
        <v>4273.5</v>
      </c>
    </row>
    <row r="24" spans="2:19" ht="15">
      <c r="B24" s="41">
        <v>14</v>
      </c>
      <c r="C24" s="101" t="s">
        <v>622</v>
      </c>
      <c r="D24" s="102"/>
      <c r="E24" s="103"/>
      <c r="F24" s="104">
        <v>1</v>
      </c>
      <c r="G24" s="105" t="s">
        <v>23</v>
      </c>
      <c r="H24" s="106">
        <f t="shared" si="3"/>
        <v>2121</v>
      </c>
      <c r="I24" s="107">
        <v>0</v>
      </c>
      <c r="J24" s="108">
        <f t="shared" si="0"/>
        <v>2121</v>
      </c>
      <c r="K24" s="28">
        <v>14</v>
      </c>
      <c r="L24" s="29"/>
      <c r="M24" s="29"/>
      <c r="N24" s="29">
        <v>2020</v>
      </c>
      <c r="O24" s="29">
        <f aca="true" t="shared" si="5" ref="O24:O34">+N24*(1-0.25)</f>
        <v>1515</v>
      </c>
      <c r="P24" s="29"/>
      <c r="Q24" s="30">
        <v>1.4</v>
      </c>
      <c r="R24" s="31">
        <f>+O24</f>
        <v>1515</v>
      </c>
      <c r="S24" s="34">
        <f t="shared" si="2"/>
        <v>2121</v>
      </c>
    </row>
    <row r="25" spans="2:19" ht="15">
      <c r="B25" s="41">
        <v>15</v>
      </c>
      <c r="C25" s="101" t="s">
        <v>613</v>
      </c>
      <c r="D25" s="102"/>
      <c r="E25" s="103"/>
      <c r="F25" s="104">
        <v>1</v>
      </c>
      <c r="G25" s="105" t="s">
        <v>23</v>
      </c>
      <c r="H25" s="106">
        <f t="shared" si="3"/>
        <v>1270.5</v>
      </c>
      <c r="I25" s="107">
        <v>0</v>
      </c>
      <c r="J25" s="108">
        <f>F25*H25*(1-I25/100)</f>
        <v>1270.5</v>
      </c>
      <c r="K25" s="28">
        <v>15</v>
      </c>
      <c r="L25" s="29"/>
      <c r="M25" s="29"/>
      <c r="N25" s="29">
        <v>1210</v>
      </c>
      <c r="O25" s="29">
        <f t="shared" si="5"/>
        <v>907.5</v>
      </c>
      <c r="P25" s="29"/>
      <c r="Q25" s="30">
        <v>1.4</v>
      </c>
      <c r="R25" s="31">
        <f>+O25</f>
        <v>907.5</v>
      </c>
      <c r="S25" s="34">
        <f t="shared" si="2"/>
        <v>1270.5</v>
      </c>
    </row>
    <row r="26" spans="2:19" ht="15">
      <c r="B26" s="41">
        <v>16</v>
      </c>
      <c r="C26" s="101" t="s">
        <v>623</v>
      </c>
      <c r="D26" s="102"/>
      <c r="E26" s="103"/>
      <c r="F26" s="104">
        <v>1</v>
      </c>
      <c r="G26" s="105" t="s">
        <v>23</v>
      </c>
      <c r="H26" s="106">
        <f t="shared" si="3"/>
        <v>1826.9999999999998</v>
      </c>
      <c r="I26" s="107">
        <v>0</v>
      </c>
      <c r="J26" s="108">
        <f t="shared" si="0"/>
        <v>1826.9999999999998</v>
      </c>
      <c r="K26" s="28">
        <v>16</v>
      </c>
      <c r="L26" s="29">
        <v>1305</v>
      </c>
      <c r="M26" s="29"/>
      <c r="N26" s="29"/>
      <c r="O26" s="29">
        <f t="shared" si="5"/>
        <v>0</v>
      </c>
      <c r="P26" s="29"/>
      <c r="Q26" s="30">
        <v>1.4</v>
      </c>
      <c r="R26" s="31">
        <f>+L26</f>
        <v>1305</v>
      </c>
      <c r="S26" s="34">
        <f t="shared" si="2"/>
        <v>1826.9999999999998</v>
      </c>
    </row>
    <row r="27" spans="2:19" ht="15">
      <c r="B27" s="41">
        <v>17</v>
      </c>
      <c r="C27" s="101" t="s">
        <v>624</v>
      </c>
      <c r="D27" s="102"/>
      <c r="E27" s="103"/>
      <c r="F27" s="104">
        <v>1</v>
      </c>
      <c r="G27" s="105" t="s">
        <v>23</v>
      </c>
      <c r="H27" s="106">
        <f t="shared" si="3"/>
        <v>2971.5</v>
      </c>
      <c r="I27" s="107">
        <v>0</v>
      </c>
      <c r="J27" s="108">
        <f t="shared" si="0"/>
        <v>2971.5</v>
      </c>
      <c r="K27" s="28">
        <v>17</v>
      </c>
      <c r="L27" s="29"/>
      <c r="M27" s="29">
        <v>1221</v>
      </c>
      <c r="N27" s="29">
        <f>2830</f>
        <v>2830</v>
      </c>
      <c r="O27" s="29">
        <f t="shared" si="5"/>
        <v>2122.5</v>
      </c>
      <c r="P27" s="29">
        <v>2970</v>
      </c>
      <c r="Q27" s="30">
        <v>1.4</v>
      </c>
      <c r="R27" s="31">
        <f>+O27</f>
        <v>2122.5</v>
      </c>
      <c r="S27" s="34">
        <f t="shared" si="2"/>
        <v>2971.5</v>
      </c>
    </row>
    <row r="28" spans="2:19" ht="15">
      <c r="B28" s="41">
        <v>18</v>
      </c>
      <c r="C28" s="101" t="s">
        <v>625</v>
      </c>
      <c r="D28" s="102"/>
      <c r="E28" s="103"/>
      <c r="F28" s="104">
        <v>1</v>
      </c>
      <c r="G28" s="105" t="s">
        <v>23</v>
      </c>
      <c r="H28" s="106">
        <f t="shared" si="3"/>
        <v>4179</v>
      </c>
      <c r="I28" s="107"/>
      <c r="J28" s="108">
        <f t="shared" si="0"/>
        <v>4179</v>
      </c>
      <c r="K28" s="28">
        <v>18</v>
      </c>
      <c r="L28" s="29"/>
      <c r="M28" s="29"/>
      <c r="N28" s="29">
        <f>2830+1150</f>
        <v>3980</v>
      </c>
      <c r="O28" s="29">
        <f t="shared" si="5"/>
        <v>2985</v>
      </c>
      <c r="P28" s="29"/>
      <c r="Q28" s="30">
        <v>1.4</v>
      </c>
      <c r="R28" s="31">
        <f aca="true" t="shared" si="6" ref="R28:R34">+O28</f>
        <v>2985</v>
      </c>
      <c r="S28" s="34">
        <f t="shared" si="2"/>
        <v>4179</v>
      </c>
    </row>
    <row r="29" spans="2:19" ht="15">
      <c r="B29" s="41">
        <v>19</v>
      </c>
      <c r="C29" s="101" t="s">
        <v>626</v>
      </c>
      <c r="D29" s="102"/>
      <c r="E29" s="103"/>
      <c r="F29" s="104">
        <v>1</v>
      </c>
      <c r="G29" s="105" t="s">
        <v>23</v>
      </c>
      <c r="H29" s="106">
        <f t="shared" si="3"/>
        <v>2707.5</v>
      </c>
      <c r="I29" s="107"/>
      <c r="J29" s="108">
        <f t="shared" si="0"/>
        <v>2707.5</v>
      </c>
      <c r="K29" s="28">
        <v>19</v>
      </c>
      <c r="L29" s="29"/>
      <c r="M29" s="29">
        <v>2814</v>
      </c>
      <c r="N29" s="29">
        <v>3610</v>
      </c>
      <c r="O29" s="29">
        <f t="shared" si="5"/>
        <v>2707.5</v>
      </c>
      <c r="P29" s="29">
        <v>3360</v>
      </c>
      <c r="Q29" s="30">
        <v>1</v>
      </c>
      <c r="R29" s="31">
        <f t="shared" si="6"/>
        <v>2707.5</v>
      </c>
      <c r="S29" s="34">
        <f t="shared" si="2"/>
        <v>2707.5</v>
      </c>
    </row>
    <row r="30" spans="2:19" ht="15">
      <c r="B30" s="41">
        <v>20</v>
      </c>
      <c r="C30" s="101" t="s">
        <v>627</v>
      </c>
      <c r="D30" s="102"/>
      <c r="E30" s="103"/>
      <c r="F30" s="104">
        <v>1</v>
      </c>
      <c r="G30" s="105" t="s">
        <v>23</v>
      </c>
      <c r="H30" s="106">
        <f t="shared" si="3"/>
        <v>5313</v>
      </c>
      <c r="I30" s="107"/>
      <c r="J30" s="108">
        <f>F30*H30*(1-I30/100)</f>
        <v>5313</v>
      </c>
      <c r="K30" s="28">
        <v>20</v>
      </c>
      <c r="L30" s="29"/>
      <c r="M30" s="29"/>
      <c r="N30" s="29">
        <f>3610+1450</f>
        <v>5060</v>
      </c>
      <c r="O30" s="29">
        <f t="shared" si="5"/>
        <v>3795</v>
      </c>
      <c r="P30" s="29"/>
      <c r="Q30" s="30">
        <v>1.4</v>
      </c>
      <c r="R30" s="31">
        <f t="shared" si="6"/>
        <v>3795</v>
      </c>
      <c r="S30" s="34">
        <f t="shared" si="2"/>
        <v>5313</v>
      </c>
    </row>
    <row r="31" spans="2:19" ht="15">
      <c r="B31" s="41">
        <v>21</v>
      </c>
      <c r="C31" s="101" t="s">
        <v>628</v>
      </c>
      <c r="D31" s="102"/>
      <c r="E31" s="103"/>
      <c r="F31" s="104">
        <v>1</v>
      </c>
      <c r="G31" s="105" t="s">
        <v>23</v>
      </c>
      <c r="H31" s="106">
        <f t="shared" si="3"/>
        <v>1260</v>
      </c>
      <c r="I31" s="107"/>
      <c r="J31" s="108">
        <f t="shared" si="0"/>
        <v>1260</v>
      </c>
      <c r="K31" s="28">
        <v>21</v>
      </c>
      <c r="L31" s="29"/>
      <c r="M31" s="29">
        <v>796</v>
      </c>
      <c r="N31" s="8">
        <v>1680</v>
      </c>
      <c r="O31" s="29">
        <f t="shared" si="5"/>
        <v>1260</v>
      </c>
      <c r="P31" s="29"/>
      <c r="Q31" s="30">
        <v>1</v>
      </c>
      <c r="R31" s="31">
        <f t="shared" si="6"/>
        <v>1260</v>
      </c>
      <c r="S31" s="34">
        <f t="shared" si="2"/>
        <v>1260</v>
      </c>
    </row>
    <row r="32" spans="2:19" ht="15">
      <c r="B32" s="41">
        <v>22</v>
      </c>
      <c r="C32" s="101" t="s">
        <v>629</v>
      </c>
      <c r="D32" s="102"/>
      <c r="E32" s="103"/>
      <c r="F32" s="104">
        <v>1</v>
      </c>
      <c r="G32" s="105" t="s">
        <v>23</v>
      </c>
      <c r="H32" s="106">
        <f t="shared" si="3"/>
        <v>2656.5</v>
      </c>
      <c r="I32" s="107"/>
      <c r="J32" s="108">
        <f t="shared" si="0"/>
        <v>2656.5</v>
      </c>
      <c r="K32" s="28">
        <v>22</v>
      </c>
      <c r="L32" s="29"/>
      <c r="M32" s="29"/>
      <c r="N32" s="29">
        <f>1680+850</f>
        <v>2530</v>
      </c>
      <c r="O32" s="29">
        <f t="shared" si="5"/>
        <v>1897.5</v>
      </c>
      <c r="P32" s="29"/>
      <c r="Q32" s="30">
        <v>1.4</v>
      </c>
      <c r="R32" s="31">
        <f t="shared" si="6"/>
        <v>1897.5</v>
      </c>
      <c r="S32" s="34">
        <f t="shared" si="2"/>
        <v>2656.5</v>
      </c>
    </row>
    <row r="33" spans="2:19" ht="15">
      <c r="B33" s="41">
        <v>23</v>
      </c>
      <c r="C33" s="101" t="s">
        <v>630</v>
      </c>
      <c r="D33" s="102"/>
      <c r="E33" s="103"/>
      <c r="F33" s="104">
        <v>1</v>
      </c>
      <c r="G33" s="105" t="s">
        <v>23</v>
      </c>
      <c r="H33" s="106">
        <f t="shared" si="3"/>
        <v>1425</v>
      </c>
      <c r="I33" s="107"/>
      <c r="J33" s="108">
        <f t="shared" si="0"/>
        <v>1425</v>
      </c>
      <c r="K33" s="28">
        <v>23</v>
      </c>
      <c r="L33" s="29"/>
      <c r="M33" s="29">
        <v>849</v>
      </c>
      <c r="N33" s="29">
        <v>1900</v>
      </c>
      <c r="O33" s="29">
        <f t="shared" si="5"/>
        <v>1425</v>
      </c>
      <c r="P33" s="29">
        <v>2115</v>
      </c>
      <c r="Q33" s="30">
        <v>1</v>
      </c>
      <c r="R33" s="31">
        <f t="shared" si="6"/>
        <v>1425</v>
      </c>
      <c r="S33" s="34">
        <f t="shared" si="2"/>
        <v>1425</v>
      </c>
    </row>
    <row r="34" spans="2:19" ht="15">
      <c r="B34" s="41">
        <v>24</v>
      </c>
      <c r="C34" s="101" t="s">
        <v>632</v>
      </c>
      <c r="D34" s="102"/>
      <c r="E34" s="103"/>
      <c r="F34" s="104">
        <v>1</v>
      </c>
      <c r="G34" s="105" t="s">
        <v>23</v>
      </c>
      <c r="H34" s="106">
        <f t="shared" si="3"/>
        <v>3024</v>
      </c>
      <c r="I34" s="107"/>
      <c r="J34" s="108">
        <f t="shared" si="0"/>
        <v>3024</v>
      </c>
      <c r="K34" s="28">
        <v>24</v>
      </c>
      <c r="L34" s="29"/>
      <c r="M34" s="29"/>
      <c r="N34" s="29">
        <f>1900+980</f>
        <v>2880</v>
      </c>
      <c r="O34" s="29">
        <f t="shared" si="5"/>
        <v>2160</v>
      </c>
      <c r="P34" s="29"/>
      <c r="Q34" s="30">
        <v>1.4</v>
      </c>
      <c r="R34" s="31">
        <f t="shared" si="6"/>
        <v>2160</v>
      </c>
      <c r="S34" s="34">
        <f t="shared" si="2"/>
        <v>3024</v>
      </c>
    </row>
    <row r="35" spans="2:19" ht="15">
      <c r="B35" s="41">
        <v>25</v>
      </c>
      <c r="C35" s="101" t="s">
        <v>609</v>
      </c>
      <c r="D35" s="102"/>
      <c r="E35" s="103"/>
      <c r="F35" s="104">
        <v>1</v>
      </c>
      <c r="G35" s="105" t="s">
        <v>23</v>
      </c>
      <c r="H35" s="106">
        <f t="shared" si="3"/>
        <v>1101.8</v>
      </c>
      <c r="I35" s="107"/>
      <c r="J35" s="108">
        <f>F35*H35*(1-I35/100)</f>
        <v>1101.8</v>
      </c>
      <c r="K35" s="28">
        <v>25</v>
      </c>
      <c r="L35" s="29">
        <v>787</v>
      </c>
      <c r="M35" s="29"/>
      <c r="N35" s="29"/>
      <c r="O35" s="29"/>
      <c r="P35" s="29"/>
      <c r="Q35" s="30">
        <v>1.4</v>
      </c>
      <c r="R35" s="31">
        <f>L35</f>
        <v>787</v>
      </c>
      <c r="S35" s="34">
        <f t="shared" si="2"/>
        <v>1101.8</v>
      </c>
    </row>
    <row r="36" spans="2:19" ht="15">
      <c r="B36" s="41">
        <v>26</v>
      </c>
      <c r="C36" s="101" t="s">
        <v>631</v>
      </c>
      <c r="D36" s="102"/>
      <c r="E36" s="103"/>
      <c r="F36" s="104">
        <v>1</v>
      </c>
      <c r="G36" s="105" t="s">
        <v>23</v>
      </c>
      <c r="H36" s="106">
        <f t="shared" si="3"/>
        <v>1250.1999999999998</v>
      </c>
      <c r="I36" s="107"/>
      <c r="J36" s="108">
        <f t="shared" si="0"/>
        <v>1250.1999999999998</v>
      </c>
      <c r="K36" s="28">
        <v>26</v>
      </c>
      <c r="L36" s="29">
        <v>893</v>
      </c>
      <c r="M36" s="29"/>
      <c r="N36" s="29"/>
      <c r="O36" s="29"/>
      <c r="P36" s="29"/>
      <c r="Q36" s="30">
        <v>1.4</v>
      </c>
      <c r="R36" s="31">
        <f>L36</f>
        <v>893</v>
      </c>
      <c r="S36" s="34">
        <f t="shared" si="2"/>
        <v>1250.1999999999998</v>
      </c>
    </row>
    <row r="37" spans="2:19" ht="15.75" thickBot="1">
      <c r="B37" s="115">
        <v>27</v>
      </c>
      <c r="C37" s="112"/>
      <c r="D37" s="113"/>
      <c r="E37" s="114"/>
      <c r="F37" s="44"/>
      <c r="G37" s="45"/>
      <c r="H37" s="70">
        <f>VLOOKUP(B37,COTIZADO,8,FALSE)</f>
        <v>0</v>
      </c>
      <c r="I37" s="71">
        <v>0</v>
      </c>
      <c r="J37" s="72">
        <f>F37*H37*(1-I37/100)</f>
        <v>0</v>
      </c>
      <c r="K37" s="28">
        <v>27</v>
      </c>
      <c r="L37" s="29"/>
      <c r="M37" s="29"/>
      <c r="N37" s="29"/>
      <c r="O37" s="29"/>
      <c r="P37" s="29"/>
      <c r="Q37" s="30">
        <v>1.4</v>
      </c>
      <c r="R37" s="32"/>
      <c r="S37" s="34">
        <f t="shared" si="2"/>
        <v>0</v>
      </c>
    </row>
    <row r="38" spans="2:10" ht="15">
      <c r="B38" s="46" t="s">
        <v>17</v>
      </c>
      <c r="C38" s="47"/>
      <c r="D38" s="36"/>
      <c r="E38" s="36"/>
      <c r="F38" s="48"/>
      <c r="G38" s="49" t="s">
        <v>3</v>
      </c>
      <c r="H38" s="50"/>
      <c r="I38" s="51"/>
      <c r="J38" s="52">
        <f>SUM(J11:J37)</f>
        <v>52729.3</v>
      </c>
    </row>
    <row r="39" spans="2:10" ht="15">
      <c r="B39" s="53"/>
      <c r="C39" s="54"/>
      <c r="D39" s="55"/>
      <c r="E39" s="38"/>
      <c r="F39" s="56"/>
      <c r="G39" s="57" t="s">
        <v>13</v>
      </c>
      <c r="H39" s="58"/>
      <c r="I39" s="59"/>
      <c r="J39" s="60">
        <f>J38*I39</f>
        <v>0</v>
      </c>
    </row>
    <row r="40" spans="2:10" ht="15">
      <c r="B40" s="37"/>
      <c r="C40" s="38"/>
      <c r="D40" s="38"/>
      <c r="E40" s="38"/>
      <c r="F40" s="61"/>
      <c r="G40" s="62" t="s">
        <v>4</v>
      </c>
      <c r="H40" s="54"/>
      <c r="I40" s="63"/>
      <c r="J40" s="60">
        <f>J38-J39</f>
        <v>52729.3</v>
      </c>
    </row>
    <row r="41" spans="2:10" ht="15">
      <c r="B41" s="37"/>
      <c r="C41" s="38"/>
      <c r="D41" s="38"/>
      <c r="E41" s="38"/>
      <c r="F41" s="56"/>
      <c r="G41" s="57">
        <v>0.19</v>
      </c>
      <c r="H41" s="58"/>
      <c r="I41" s="59">
        <v>0.19</v>
      </c>
      <c r="J41" s="60">
        <f>J40*I41</f>
        <v>10018.567000000001</v>
      </c>
    </row>
    <row r="42" spans="2:10" ht="15.75" thickBot="1">
      <c r="B42" s="39"/>
      <c r="C42" s="40"/>
      <c r="D42" s="40"/>
      <c r="E42" s="40"/>
      <c r="F42" s="64"/>
      <c r="G42" s="65" t="s">
        <v>2</v>
      </c>
      <c r="H42" s="66"/>
      <c r="I42" s="67"/>
      <c r="J42" s="68">
        <f>J40+J41</f>
        <v>62747.867000000006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4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N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5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73" t="s">
        <v>585</v>
      </c>
    </row>
    <row r="108" spans="1:13" ht="15">
      <c r="A108">
        <v>107</v>
      </c>
      <c r="B108" s="35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110" t="s">
        <v>593</v>
      </c>
      <c r="C109" s="109" t="s">
        <v>594</v>
      </c>
      <c r="D109" s="109" t="s">
        <v>595</v>
      </c>
      <c r="E109" s="109" t="s">
        <v>596</v>
      </c>
      <c r="F109" s="109" t="s">
        <v>37</v>
      </c>
      <c r="G109" s="109" t="s">
        <v>33</v>
      </c>
      <c r="H109" s="109"/>
      <c r="I109" s="109" t="s">
        <v>597</v>
      </c>
      <c r="J109" s="109"/>
      <c r="K109" s="109" t="s">
        <v>598</v>
      </c>
      <c r="L109" s="111" t="s">
        <v>599</v>
      </c>
      <c r="M109" s="109" t="s">
        <v>600</v>
      </c>
    </row>
    <row r="110" spans="1:14" ht="15">
      <c r="A110">
        <v>109</v>
      </c>
      <c r="B110" s="35" t="s">
        <v>606</v>
      </c>
      <c r="C110" t="s">
        <v>601</v>
      </c>
      <c r="E110" t="s">
        <v>602</v>
      </c>
      <c r="F110" t="s">
        <v>65</v>
      </c>
      <c r="G110" t="s">
        <v>33</v>
      </c>
      <c r="I110" t="s">
        <v>604</v>
      </c>
      <c r="K110" t="s">
        <v>605</v>
      </c>
      <c r="L110" s="73" t="s">
        <v>603</v>
      </c>
      <c r="N110" s="35"/>
    </row>
    <row r="111" spans="1:14" ht="15">
      <c r="A111">
        <v>110</v>
      </c>
      <c r="B111" s="110"/>
      <c r="C111" s="109"/>
      <c r="D111" s="109"/>
      <c r="E111" s="109"/>
      <c r="F111" s="109"/>
      <c r="G111" s="109"/>
      <c r="H111" s="109"/>
      <c r="I111" s="109"/>
      <c r="J111" s="109"/>
      <c r="K111" s="109"/>
      <c r="L111" s="111"/>
      <c r="M111" s="109"/>
      <c r="N111" s="110"/>
    </row>
    <row r="112" spans="1:14" ht="15">
      <c r="A112">
        <v>111</v>
      </c>
      <c r="N112" s="35"/>
    </row>
    <row r="113" spans="1:14" ht="15">
      <c r="A113">
        <v>112</v>
      </c>
      <c r="B113" s="110"/>
      <c r="C113" s="109"/>
      <c r="D113" s="109"/>
      <c r="E113" s="109"/>
      <c r="F113" s="109"/>
      <c r="G113" s="109"/>
      <c r="H113" s="109"/>
      <c r="I113" s="109"/>
      <c r="J113" s="109"/>
      <c r="K113" s="109"/>
      <c r="L113" s="111"/>
      <c r="M113" s="109"/>
      <c r="N113" s="110"/>
    </row>
    <row r="114" spans="1:14" ht="15">
      <c r="A114">
        <v>113</v>
      </c>
      <c r="N114" s="35"/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0" r:id="rId3" display="CMunoz@upc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2014-09-11T18:42:37Z</cp:lastPrinted>
  <dcterms:created xsi:type="dcterms:W3CDTF">2013-07-12T05:01:37Z</dcterms:created>
  <dcterms:modified xsi:type="dcterms:W3CDTF">2014-09-11T18:43:00Z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