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1"/>
  </bookViews>
  <sheets>
    <sheet name="COTIZACION (2)" sheetId="1" r:id="rId1"/>
    <sheet name="COTIZACION" sheetId="2" r:id="rId2"/>
    <sheet name="CLIENTES" sheetId="3" r:id="rId3"/>
  </sheets>
  <definedNames>
    <definedName name="_xlnm.Print_Area" localSheetId="1">'COTIZACION'!$B$1:$J$32</definedName>
    <definedName name="_xlnm.Print_Area" localSheetId="0">'COTIZACION (2)'!$B$1:$J$33</definedName>
    <definedName name="CLIENTES">'CLIENTES'!$B$2:$M$201</definedName>
    <definedName name="COTIZADO" localSheetId="0" comment="VALORES COTIZADOS A PROVEEDORES">'COTIZACION (2)'!$K$10:$R$28</definedName>
    <definedName name="COTIZADO">'COTIZACION'!$K$10:$R$27</definedName>
    <definedName name="VENTAFINAL" localSheetId="0" comment="PRECIO OFERTADO A CLIENTE">'COTIZACION (2)'!$R$11:$R$28</definedName>
    <definedName name="VENTAFINAL">'COTIZACION'!$R$11:$R$27</definedName>
    <definedName name="Z_E08BD4BD_63D8_41E6_9AED_1C81DE76C4C8_.wvu.PrintArea" localSheetId="1" hidden="1">'COTIZACION'!$B$1:$J$32</definedName>
    <definedName name="Z_E08BD4BD_63D8_41E6_9AED_1C81DE76C4C8_.wvu.PrintArea" localSheetId="0" hidden="1">'COTIZACION (2)'!$B$1:$J$33</definedName>
  </definedNames>
  <calcPr fullCalcOnLoad="1"/>
</workbook>
</file>

<file path=xl/sharedStrings.xml><?xml version="1.0" encoding="utf-8"?>
<sst xmlns="http://schemas.openxmlformats.org/spreadsheetml/2006/main" count="909" uniqueCount="615">
  <si>
    <t>cantidad</t>
  </si>
  <si>
    <t>item</t>
  </si>
  <si>
    <t>total</t>
  </si>
  <si>
    <t>neto</t>
  </si>
  <si>
    <t>subtotal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</si>
  <si>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</si>
  <si>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</si>
  <si>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</si>
  <si>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</si>
  <si>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</si>
  <si>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</si>
  <si>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</si>
  <si>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</si>
  <si>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</si>
  <si>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</si>
  <si>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</si>
  <si>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</si>
  <si>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</si>
  <si>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</si>
  <si>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</si>
  <si>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</si>
  <si>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</si>
  <si>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</si>
  <si>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</si>
  <si>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</si>
  <si>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</si>
  <si>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</si>
  <si>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</si>
  <si>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</si>
  <si>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</si>
  <si>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</si>
  <si>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</si>
  <si>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</si>
  <si>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</si>
  <si>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</si>
  <si>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</si>
  <si>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</si>
  <si>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</si>
  <si>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</si>
  <si>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</si>
  <si>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</si>
  <si>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</si>
  <si>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</si>
  <si>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</si>
  <si>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</si>
  <si>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</si>
  <si>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</si>
  <si>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</si>
  <si>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</si>
  <si>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</si>
  <si>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</si>
  <si>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</si>
  <si>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</si>
  <si>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</si>
  <si>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</si>
  <si>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</si>
  <si>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</si>
  <si>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</si>
  <si>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</si>
  <si>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</si>
  <si>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</si>
  <si>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</si>
  <si>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</si>
  <si>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</si>
  <si>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</si>
  <si>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</si>
  <si>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</si>
  <si>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</si>
  <si>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</si>
  <si>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</si>
  <si>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</si>
  <si>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</si>
  <si>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</si>
  <si>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</si>
  <si>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</si>
  <si>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</si>
  <si>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</si>
  <si>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</si>
  <si>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</si>
  <si>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</si>
  <si>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</si>
  <si>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</si>
  <si>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</si>
  <si>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</si>
  <si>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</si>
  <si>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</si>
  <si>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</si>
  <si>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</si>
  <si>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</si>
  <si>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</si>
  <si>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</si>
  <si>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</si>
  <si>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</si>
  <si>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</si>
  <si>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</si>
  <si>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</si>
  <si>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</si>
  <si>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</si>
  <si>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</si>
  <si>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</si>
  <si>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</si>
  <si>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</si>
  <si>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</si>
  <si>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</si>
  <si>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</si>
  <si>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</si>
  <si>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</si>
  <si>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</si>
  <si>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</si>
  <si>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</si>
  <si>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</si>
  <si>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</si>
  <si>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</si>
  <si>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</si>
  <si>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</si>
  <si>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</si>
  <si>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</si>
  <si>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</si>
  <si>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</si>
  <si>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</si>
  <si>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</si>
  <si>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</si>
  <si>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</si>
  <si>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</si>
  <si>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</si>
  <si>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</si>
  <si>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</si>
  <si>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</si>
  <si>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</si>
  <si>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</si>
  <si>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</si>
  <si>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</si>
  <si>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</si>
  <si>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</si>
  <si>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</si>
  <si>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</si>
  <si>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</si>
  <si>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</si>
  <si>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</si>
  <si>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</si>
  <si>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</si>
  <si>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</si>
  <si>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</si>
  <si>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</si>
  <si>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</si>
  <si>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</si>
  <si>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</si>
  <si>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</si>
  <si>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</si>
  <si>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</si>
  <si>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</si>
  <si>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</si>
  <si>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</si>
  <si>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</si>
  <si>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</si>
  <si>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</si>
  <si>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</si>
  <si>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</si>
  <si>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</si>
  <si>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</si>
  <si>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</si>
  <si>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</si>
  <si>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</si>
  <si>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</si>
  <si>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</si>
  <si>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</si>
  <si>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</si>
  <si>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</si>
  <si>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</si>
  <si>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</si>
  <si>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</si>
  <si>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</si>
  <si>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</si>
  <si>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</si>
  <si>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</si>
  <si>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</si>
  <si>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</si>
  <si>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</si>
  <si>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</si>
  <si>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</si>
  <si>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</si>
  <si>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</si>
  <si>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</si>
  <si>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</si>
  <si>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</si>
  <si>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</si>
  <si>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</si>
  <si>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</si>
  <si>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</si>
  <si>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</si>
  <si>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</si>
  <si>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</si>
  <si>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</si>
  <si>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</si>
  <si>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</si>
  <si>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</si>
  <si>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</si>
  <si>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</si>
  <si>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</si>
  <si>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</si>
  <si>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</si>
  <si>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</si>
  <si>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</si>
  <si>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</si>
  <si>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</si>
  <si>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</si>
  <si>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</si>
  <si>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</si>
  <si>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</si>
  <si>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</si>
  <si>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</si>
  <si>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</si>
  <si>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</si>
  <si>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</si>
  <si>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</si>
  <si>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</si>
  <si>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</si>
  <si>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</si>
  <si>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</si>
  <si>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</si>
  <si>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</si>
  <si>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</si>
  <si>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</si>
  <si>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</si>
  <si>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</si>
  <si>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</si>
  <si>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</si>
  <si>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</si>
  <si>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</si>
  <si>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</si>
  <si>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</si>
  <si>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</si>
  <si>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</si>
  <si>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</si>
  <si>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</si>
  <si>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</si>
  <si>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</si>
  <si>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</si>
  <si>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</si>
  <si>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</si>
  <si>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</si>
  <si>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</si>
  <si>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</si>
  <si>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</si>
  <si>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</si>
  <si>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</si>
  <si>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</si>
  <si>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</si>
  <si>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</si>
  <si>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</si>
  <si>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</si>
  <si>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</si>
  <si>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</si>
  <si>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</si>
  <si>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</si>
  <si>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</si>
  <si>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</si>
  <si>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</si>
  <si>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</si>
  <si>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</si>
  <si>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</si>
  <si>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</si>
  <si>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</si>
  <si>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</si>
  <si>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</si>
  <si>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</si>
  <si>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</si>
  <si>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</si>
  <si>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</si>
  <si>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</si>
  <si>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</si>
  <si>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</si>
  <si>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</si>
  <si>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</si>
  <si>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</si>
  <si>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</si>
  <si>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</si>
  <si>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</si>
  <si>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</si>
  <si>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</si>
  <si>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</si>
  <si>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</si>
  <si>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</si>
  <si>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</si>
  <si>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</si>
  <si>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</si>
  <si>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</si>
  <si>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</si>
  <si>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</si>
  <si>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</si>
  <si>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</si>
  <si>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</si>
  <si>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</si>
  <si>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</si>
  <si>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</si>
  <si>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</si>
  <si>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</si>
  <si>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</si>
  <si>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</si>
  <si>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</si>
  <si>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</si>
  <si>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</si>
  <si>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</si>
  <si>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</si>
  <si>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</si>
  <si>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</si>
  <si>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</si>
  <si>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</si>
  <si>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</si>
  <si>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</si>
  <si>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</si>
  <si>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</si>
  <si>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</si>
  <si>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</si>
  <si>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</si>
  <si>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</si>
  <si>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</si>
  <si>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</si>
  <si>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</si>
  <si>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</si>
  <si>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</si>
  <si>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</si>
  <si>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</si>
  <si>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</si>
  <si>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</si>
  <si>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</si>
  <si>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</si>
  <si>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</si>
  <si>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</si>
  <si>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</si>
  <si>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</si>
  <si>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</si>
  <si>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</si>
  <si>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</si>
  <si>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</si>
  <si>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</si>
  <si>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</si>
  <si>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</si>
  <si>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</si>
  <si>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</si>
  <si>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</si>
  <si>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</si>
  <si>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</si>
  <si>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</si>
  <si>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</si>
  <si>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</si>
  <si>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</si>
  <si>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</si>
  <si>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</si>
  <si>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</si>
  <si>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</si>
  <si>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</si>
  <si>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</si>
  <si>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</si>
  <si>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</si>
  <si>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</si>
  <si>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</si>
  <si>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</si>
  <si>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</si>
  <si>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</si>
  <si>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</si>
  <si>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</si>
  <si>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</si>
  <si>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</si>
  <si>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</si>
  <si>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</si>
  <si>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</si>
  <si>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</si>
  <si>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</si>
  <si>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</si>
  <si>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</si>
  <si>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</si>
  <si>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</si>
  <si>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</si>
  <si>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</si>
  <si>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</si>
  <si>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</si>
  <si>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</si>
  <si>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</si>
  <si>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</si>
  <si>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</si>
  <si>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</si>
  <si>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</si>
  <si>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</si>
  <si>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</si>
  <si>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</si>
  <si>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</si>
  <si>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</si>
  <si>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</si>
  <si>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</si>
  <si>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</si>
  <si>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</si>
  <si>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</si>
  <si>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</si>
  <si>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</si>
  <si>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</si>
  <si>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</si>
  <si>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</si>
  <si>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</si>
  <si>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</si>
  <si>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</si>
  <si>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</si>
  <si>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</si>
  <si>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</si>
  <si>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</si>
  <si>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</si>
  <si>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</si>
  <si>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</si>
  <si>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</si>
  <si>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</si>
  <si>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</si>
  <si>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</si>
  <si>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</si>
  <si>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</si>
  <si>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</si>
  <si>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</si>
  <si>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</si>
  <si>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</si>
  <si>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</si>
  <si>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</si>
  <si>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</si>
  <si>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</si>
  <si>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</si>
  <si>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</si>
  <si>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</si>
  <si>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</si>
  <si>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</si>
  <si>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</si>
  <si>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</si>
  <si>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</si>
  <si>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</si>
  <si>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</si>
  <si>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</si>
  <si>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</si>
  <si>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</si>
  <si>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</si>
  <si>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</si>
  <si>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</si>
  <si>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</si>
  <si>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</si>
  <si>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</si>
  <si>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</si>
  <si>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</si>
  <si>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</si>
  <si>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</si>
  <si>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</si>
  <si>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</si>
  <si>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</si>
  <si>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</si>
  <si>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</si>
  <si>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</si>
  <si>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</si>
  <si>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</si>
  <si>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</si>
  <si>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</si>
  <si>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</si>
  <si>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</si>
  <si>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</si>
  <si>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</si>
  <si>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</si>
  <si>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</si>
  <si>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</si>
  <si>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</si>
  <si>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</si>
  <si>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</si>
  <si>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</si>
  <si>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</si>
  <si>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</si>
  <si>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</si>
  <si>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</si>
  <si>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</si>
  <si>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</si>
  <si>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</si>
  <si>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</si>
  <si>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</si>
  <si>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</si>
  <si>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</si>
  <si>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</si>
  <si>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</si>
  <si>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</si>
  <si>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</si>
  <si>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</si>
  <si>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</si>
  <si>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</si>
  <si>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</si>
  <si>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</si>
  <si>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</si>
  <si>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</si>
  <si>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</si>
  <si>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</si>
  <si>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</si>
  <si>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</si>
  <si>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</si>
  <si>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</si>
  <si>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</si>
  <si>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</si>
  <si>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</si>
  <si>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</si>
  <si>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</si>
  <si>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</si>
  <si>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</si>
  <si>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</si>
  <si>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</si>
  <si>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</si>
  <si>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</si>
  <si>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</si>
  <si>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</si>
  <si>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</si>
  <si>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</si>
  <si>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</si>
  <si>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</si>
  <si>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</si>
  <si>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</si>
  <si>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</si>
  <si>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</si>
  <si>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</si>
  <si>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</si>
  <si>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</si>
  <si>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</si>
  <si>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</si>
  <si>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</si>
  <si>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</si>
  <si>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</si>
  <si>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</si>
  <si>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</si>
  <si>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</si>
  <si>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</si>
  <si>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</si>
  <si>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</si>
  <si>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</si>
  <si>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</si>
  <si>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</si>
  <si>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</si>
  <si>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</si>
  <si>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</si>
  <si>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</si>
  <si>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</si>
  <si>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</si>
  <si>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</si>
  <si>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</si>
  <si>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</si>
  <si>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</si>
  <si>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</si>
  <si>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</si>
  <si>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</si>
  <si>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</si>
  <si>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</si>
  <si>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</si>
  <si>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</si>
  <si>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</si>
  <si>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</si>
  <si>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</si>
  <si>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</si>
  <si>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</si>
  <si>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</si>
  <si>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</si>
  <si>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</si>
  <si>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</si>
  <si>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</si>
  <si>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</si>
  <si>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</si>
  <si>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</si>
  <si>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</si>
  <si>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</si>
  <si>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</si>
  <si>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</si>
  <si>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</si>
  <si>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</si>
  <si>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</si>
  <si>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</si>
  <si>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</si>
  <si>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</si>
  <si>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</si>
  <si>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</si>
  <si>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</si>
  <si>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</si>
  <si>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</si>
  <si>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</si>
  <si>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</si>
  <si>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</si>
  <si>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</si>
  <si>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</si>
  <si>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</si>
  <si>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</si>
  <si>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</si>
  <si>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</si>
  <si>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</si>
  <si>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</si>
  <si>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</si>
  <si>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</si>
  <si>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</si>
  <si>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</si>
  <si>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</si>
  <si>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</si>
  <si>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</si>
  <si>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DISCO DIAMANTADO 41/2 SEGMENTADO (SECO)</t>
  </si>
  <si>
    <t>DISCO DIAMANTADO 41/2 CONTINUO (LISO)</t>
  </si>
  <si>
    <t>FERRE DOS ESTREL</t>
  </si>
  <si>
    <t>Y PVC SANITARIO 110 MM GRIS</t>
  </si>
  <si>
    <t>IMPOPLAS</t>
  </si>
  <si>
    <t xml:space="preserve">GRASERA EN 90° 6 MM PASO 1 </t>
  </si>
  <si>
    <t>PERNOS HEX  16X21/2" PASO 2</t>
  </si>
  <si>
    <t>TUERCA M16</t>
  </si>
  <si>
    <t>UNION AMERICANA (S/ASIENTO BR) DE 4"</t>
  </si>
  <si>
    <t>IMPORT PER</t>
  </si>
  <si>
    <t>PERNOS HEX  1/2X21/2" PASO 2</t>
  </si>
  <si>
    <t>TUERCA 1/2</t>
  </si>
  <si>
    <t xml:space="preserve">GOLILLA PLANA 1/2 </t>
  </si>
  <si>
    <t xml:space="preserve">GOLILLA PRESION 1/2 </t>
  </si>
  <si>
    <t>PORTIPER</t>
  </si>
  <si>
    <t>1671A</t>
  </si>
  <si>
    <t>CHASCONES DE 4"</t>
  </si>
  <si>
    <t>MAIPO</t>
  </si>
  <si>
    <t xml:space="preserve">PERNO ANCLAJE 3X8 </t>
  </si>
  <si>
    <t>TERMINAL PVC DE 40 MM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</si>
</sst>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14" fillId="33" borderId="15" xfId="0" applyNumberFormat="1" applyFont="1" applyFill="1" applyBorder="1" applyAlignment="1" applyProtection="1">
      <alignment horizontal="left"/>
      <protection/>
    </xf>
    <xf numFmtId="166" fontId="14" fillId="33" borderId="12" xfId="0" applyNumberFormat="1" applyFont="1" applyFill="1" applyBorder="1" applyAlignment="1" applyProtection="1">
      <alignment horizontal="left"/>
      <protection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15" fillId="33" borderId="27" xfId="0" applyFont="1" applyFill="1" applyBorder="1" applyAlignment="1" applyProtection="1">
      <alignment/>
      <protection locked="0"/>
    </xf>
    <xf numFmtId="0" fontId="15" fillId="33" borderId="32" xfId="0" applyFont="1" applyFill="1" applyBorder="1" applyAlignment="1" applyProtection="1">
      <alignment/>
      <protection locked="0"/>
    </xf>
    <xf numFmtId="0" fontId="18" fillId="0" borderId="0" xfId="0" applyNumberFormat="1" applyFont="1" applyAlignment="1" applyProtection="1">
      <alignment horizontal="left"/>
      <protection locked="0"/>
    </xf>
    <xf numFmtId="166" fontId="15" fillId="33" borderId="32" xfId="0" applyNumberFormat="1" applyFont="1" applyFill="1" applyBorder="1" applyAlignment="1" applyProtection="1">
      <alignment horizontal="center"/>
      <protection/>
    </xf>
    <xf numFmtId="0" fontId="15" fillId="33" borderId="14" xfId="0" applyNumberFormat="1" applyFont="1" applyFill="1" applyBorder="1" applyAlignment="1" applyProtection="1">
      <alignment horizontal="center"/>
      <protection locked="0"/>
    </xf>
    <xf numFmtId="166" fontId="53" fillId="33" borderId="10" xfId="0" applyNumberFormat="1" applyFont="1" applyFill="1" applyBorder="1" applyAlignment="1" applyProtection="1">
      <alignment horizontal="center"/>
      <protection locked="0"/>
    </xf>
    <xf numFmtId="166" fontId="53" fillId="33" borderId="14" xfId="0" applyNumberFormat="1" applyFont="1" applyFill="1" applyBorder="1" applyAlignment="1" applyProtection="1">
      <alignment horizontal="center"/>
      <protection locked="0"/>
    </xf>
    <xf numFmtId="166" fontId="15" fillId="33" borderId="14" xfId="0" applyNumberFormat="1" applyFont="1" applyFill="1" applyBorder="1" applyAlignment="1" applyProtection="1">
      <alignment horizontal="center"/>
      <protection locked="0"/>
    </xf>
    <xf numFmtId="166" fontId="53" fillId="33" borderId="25" xfId="0" applyNumberFormat="1" applyFont="1" applyFill="1" applyBorder="1" applyAlignment="1" applyProtection="1">
      <alignment horizontal="center"/>
      <protection locked="0"/>
    </xf>
    <xf numFmtId="1" fontId="52" fillId="0" borderId="0" xfId="0" applyNumberFormat="1" applyFont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3" fillId="33" borderId="32" xfId="0" applyFont="1" applyFill="1" applyBorder="1" applyAlignment="1" applyProtection="1">
      <alignment/>
      <protection locked="0"/>
    </xf>
    <xf numFmtId="0" fontId="15" fillId="34" borderId="14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33" borderId="14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14" fillId="34" borderId="14" xfId="0" applyFont="1" applyFill="1" applyBorder="1" applyAlignment="1" applyProtection="1">
      <alignment horizontal="left"/>
      <protection locked="0"/>
    </xf>
    <xf numFmtId="0" fontId="14" fillId="34" borderId="0" xfId="0" applyFont="1" applyFill="1" applyBorder="1" applyAlignment="1" applyProtection="1">
      <alignment horizontal="left"/>
      <protection locked="0"/>
    </xf>
    <xf numFmtId="0" fontId="14" fillId="34" borderId="15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14" fillId="33" borderId="0" xfId="0" applyNumberFormat="1" applyFont="1" applyFill="1" applyBorder="1" applyAlignment="1" applyProtection="1">
      <alignment horizontal="left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zoomScalePageLayoutView="0" workbookViewId="0" topLeftCell="A1">
      <selection activeCell="A12" sqref="A12:IV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594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1671</v>
      </c>
      <c r="K2" s="7" t="s">
        <v>594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5</v>
      </c>
      <c r="C4" s="38"/>
      <c r="D4" s="91" t="s">
        <v>579</v>
      </c>
      <c r="E4" s="38" t="s">
        <v>11</v>
      </c>
      <c r="F4" s="39"/>
      <c r="G4" s="39"/>
      <c r="H4" s="40"/>
      <c r="I4" s="38" t="s">
        <v>8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42" t="str">
        <f>VLOOKUP(D4,CLIENTES,4,FALSE)</f>
        <v>AV.PDTE.FREI MONTALVA 3899</v>
      </c>
      <c r="F5" s="142"/>
      <c r="G5" s="142"/>
      <c r="H5" s="142"/>
      <c r="I5" s="142"/>
      <c r="J5" s="143"/>
      <c r="K5" s="20"/>
    </row>
    <row r="6" spans="2:10" ht="17.25" customHeight="1">
      <c r="B6" s="41" t="s">
        <v>26</v>
      </c>
      <c r="C6" s="42"/>
      <c r="D6" s="93" t="str">
        <f>VLOOKUP(D4,CLIENTES,2,FALSE)</f>
        <v>MARZULLO S.A.</v>
      </c>
      <c r="E6" s="42" t="s">
        <v>6</v>
      </c>
      <c r="F6" s="144">
        <f>VLOOKUP(D4,CLIENTES,5,FALSE)</f>
        <v>0</v>
      </c>
      <c r="G6" s="144"/>
      <c r="H6" s="144"/>
      <c r="I6" s="87">
        <f>VLOOKUP(D4,CLIENTES,11,FALSE)</f>
        <v>0</v>
      </c>
      <c r="J6" s="44"/>
    </row>
    <row r="7" spans="2:10" ht="15">
      <c r="B7" s="41" t="s">
        <v>24</v>
      </c>
      <c r="C7" s="42"/>
      <c r="D7" s="92">
        <f>VLOOKUP(D4,CLIENTES,3,FALSE)</f>
        <v>0</v>
      </c>
      <c r="E7" s="42" t="s">
        <v>7</v>
      </c>
      <c r="F7" s="144" t="str">
        <f>VLOOKUP(D4,CLIENTES,6,FALSE)</f>
        <v>CONCHALI</v>
      </c>
      <c r="G7" s="144"/>
      <c r="H7" s="144"/>
      <c r="I7" s="42" t="s">
        <v>25</v>
      </c>
      <c r="J7" s="94" t="str">
        <f>VLOOKUP(D4,CLIENTES,8,FALSE)</f>
        <v>Luis Barriento Nuñez</v>
      </c>
    </row>
    <row r="8" spans="2:12" ht="15.75" thickBot="1">
      <c r="B8" s="145" t="s">
        <v>27</v>
      </c>
      <c r="C8" s="146"/>
      <c r="D8" s="92">
        <f>VLOOKUP(D4,CLIENTES,7,FALSE)</f>
        <v>0</v>
      </c>
      <c r="E8" s="42" t="s">
        <v>10</v>
      </c>
      <c r="F8" s="147">
        <f>VLOOKUP(D4,CLIENTES,12,FALSE)</f>
        <v>0</v>
      </c>
      <c r="G8" s="147"/>
      <c r="H8" s="147"/>
      <c r="I8" s="42" t="s">
        <v>13</v>
      </c>
      <c r="J8" s="45">
        <f ca="1">TODAY()</f>
        <v>41771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50" t="s">
        <v>1</v>
      </c>
      <c r="C10" s="136" t="s">
        <v>23</v>
      </c>
      <c r="D10" s="137"/>
      <c r="E10" s="138"/>
      <c r="F10" s="51" t="s">
        <v>0</v>
      </c>
      <c r="G10" s="52" t="s">
        <v>22</v>
      </c>
      <c r="H10" s="52" t="s">
        <v>14</v>
      </c>
      <c r="I10" s="53" t="s">
        <v>12</v>
      </c>
      <c r="J10" s="54" t="s">
        <v>2</v>
      </c>
      <c r="K10" s="24" t="s">
        <v>17</v>
      </c>
      <c r="L10" s="25" t="s">
        <v>599</v>
      </c>
      <c r="M10" s="25" t="s">
        <v>597</v>
      </c>
      <c r="N10" s="25" t="s">
        <v>604</v>
      </c>
      <c r="O10" s="25"/>
      <c r="P10" s="26" t="s">
        <v>15</v>
      </c>
      <c r="Q10" s="25" t="s">
        <v>18</v>
      </c>
      <c r="R10" s="27" t="s">
        <v>19</v>
      </c>
    </row>
    <row r="11" spans="2:18" ht="15">
      <c r="B11" s="88">
        <v>1</v>
      </c>
      <c r="C11" s="124" t="s">
        <v>596</v>
      </c>
      <c r="D11" s="125"/>
      <c r="E11" s="126"/>
      <c r="F11" s="97">
        <v>2</v>
      </c>
      <c r="G11" s="103" t="s">
        <v>22</v>
      </c>
      <c r="H11" s="84">
        <f>VLOOKUP(B11,COTIZADO,8,FALSE)</f>
        <v>8911.8</v>
      </c>
      <c r="I11" s="108"/>
      <c r="J11" s="84">
        <f aca="true" t="shared" si="0" ref="J11:J28">F11*H11*(1-I11/100)</f>
        <v>17823.6</v>
      </c>
      <c r="K11" s="28">
        <v>1</v>
      </c>
      <c r="L11" s="29"/>
      <c r="M11" s="112">
        <f>14853/2</f>
        <v>7426.5</v>
      </c>
      <c r="N11" s="29"/>
      <c r="O11" s="29"/>
      <c r="P11" s="30">
        <v>1.2</v>
      </c>
      <c r="Q11" s="113">
        <f>M11</f>
        <v>7426.5</v>
      </c>
      <c r="R11" s="35">
        <f>Q11*P11</f>
        <v>8911.8</v>
      </c>
    </row>
    <row r="12" spans="2:18" ht="15">
      <c r="B12" s="120">
        <v>2</v>
      </c>
      <c r="C12" s="139" t="s">
        <v>595</v>
      </c>
      <c r="D12" s="140"/>
      <c r="E12" s="141"/>
      <c r="F12" s="96">
        <v>2</v>
      </c>
      <c r="G12" s="104" t="s">
        <v>22</v>
      </c>
      <c r="H12" s="85">
        <f>+R12</f>
        <v>10521.6</v>
      </c>
      <c r="I12" s="109"/>
      <c r="J12" s="85">
        <f t="shared" si="0"/>
        <v>21043.2</v>
      </c>
      <c r="K12" s="28">
        <v>2</v>
      </c>
      <c r="L12" s="29"/>
      <c r="M12" s="29">
        <f>17536/2</f>
        <v>8768</v>
      </c>
      <c r="N12" s="29"/>
      <c r="O12" s="29"/>
      <c r="P12" s="30">
        <v>1.2</v>
      </c>
      <c r="Q12" s="31">
        <f>M12</f>
        <v>8768</v>
      </c>
      <c r="R12" s="35">
        <f aca="true" t="shared" si="1" ref="R12:R28">Q12*P12</f>
        <v>10521.6</v>
      </c>
    </row>
    <row r="13" spans="2:18" ht="15">
      <c r="B13" s="107">
        <v>3</v>
      </c>
      <c r="C13" s="127" t="s">
        <v>598</v>
      </c>
      <c r="D13" s="128"/>
      <c r="E13" s="129"/>
      <c r="F13" s="96">
        <v>1</v>
      </c>
      <c r="G13" s="104" t="s">
        <v>22</v>
      </c>
      <c r="H13" s="106">
        <f aca="true" t="shared" si="2" ref="H13:H28">VLOOKUP(B13,COTIZADO,8,FALSE)</f>
        <v>4160</v>
      </c>
      <c r="I13" s="110"/>
      <c r="J13" s="106">
        <f t="shared" si="0"/>
        <v>4160</v>
      </c>
      <c r="K13" s="28">
        <v>3</v>
      </c>
      <c r="L13" s="29">
        <v>2600</v>
      </c>
      <c r="M13" s="29"/>
      <c r="N13" s="29"/>
      <c r="O13" s="29"/>
      <c r="P13" s="30">
        <v>1.6</v>
      </c>
      <c r="Q13" s="31">
        <f>+L13</f>
        <v>2600</v>
      </c>
      <c r="R13" s="35">
        <f t="shared" si="1"/>
        <v>4160</v>
      </c>
    </row>
    <row r="14" spans="2:18" ht="15">
      <c r="B14" s="107">
        <v>4</v>
      </c>
      <c r="C14" s="127" t="s">
        <v>600</v>
      </c>
      <c r="D14" s="128"/>
      <c r="E14" s="129"/>
      <c r="F14" s="96">
        <v>20</v>
      </c>
      <c r="G14" s="104" t="s">
        <v>22</v>
      </c>
      <c r="H14" s="106">
        <f t="shared" si="2"/>
        <v>294</v>
      </c>
      <c r="I14" s="110">
        <v>0</v>
      </c>
      <c r="J14" s="106">
        <f t="shared" si="0"/>
        <v>5880</v>
      </c>
      <c r="K14" s="28">
        <v>4</v>
      </c>
      <c r="L14" s="29"/>
      <c r="M14" s="29">
        <f>420*0.7</f>
        <v>294</v>
      </c>
      <c r="O14" s="29"/>
      <c r="P14" s="30">
        <v>1</v>
      </c>
      <c r="Q14" s="31">
        <f>+M14</f>
        <v>294</v>
      </c>
      <c r="R14" s="35">
        <f t="shared" si="1"/>
        <v>294</v>
      </c>
    </row>
    <row r="15" spans="2:18" ht="15">
      <c r="B15" s="114">
        <v>5</v>
      </c>
      <c r="C15" s="130" t="s">
        <v>601</v>
      </c>
      <c r="D15" s="131"/>
      <c r="E15" s="132"/>
      <c r="F15" s="118">
        <v>20</v>
      </c>
      <c r="G15" s="119" t="s">
        <v>22</v>
      </c>
      <c r="H15" s="85">
        <f t="shared" si="2"/>
        <v>448</v>
      </c>
      <c r="I15" s="109">
        <v>0</v>
      </c>
      <c r="J15" s="85">
        <f t="shared" si="0"/>
        <v>8960</v>
      </c>
      <c r="K15" s="105">
        <v>5</v>
      </c>
      <c r="L15" s="29"/>
      <c r="M15" s="29"/>
      <c r="N15" s="29">
        <v>280</v>
      </c>
      <c r="O15" s="29"/>
      <c r="P15" s="30">
        <v>1.6</v>
      </c>
      <c r="Q15" s="31">
        <f>+N15</f>
        <v>280</v>
      </c>
      <c r="R15" s="35">
        <f t="shared" si="1"/>
        <v>448</v>
      </c>
    </row>
    <row r="16" spans="2:18" ht="15">
      <c r="B16" s="114">
        <v>6</v>
      </c>
      <c r="C16" s="130" t="s">
        <v>602</v>
      </c>
      <c r="D16" s="131"/>
      <c r="E16" s="132"/>
      <c r="F16" s="118">
        <v>20</v>
      </c>
      <c r="G16" s="119" t="s">
        <v>22</v>
      </c>
      <c r="H16" s="85">
        <f t="shared" si="2"/>
        <v>75.2</v>
      </c>
      <c r="I16" s="109">
        <v>0</v>
      </c>
      <c r="J16" s="85">
        <f t="shared" si="0"/>
        <v>1504</v>
      </c>
      <c r="K16" s="105">
        <v>6</v>
      </c>
      <c r="L16" s="29"/>
      <c r="M16" s="29"/>
      <c r="N16" s="29">
        <v>47</v>
      </c>
      <c r="O16" s="29"/>
      <c r="P16" s="30">
        <v>1.6</v>
      </c>
      <c r="Q16" s="31">
        <f>+N16</f>
        <v>47</v>
      </c>
      <c r="R16" s="35">
        <f t="shared" si="1"/>
        <v>75.2</v>
      </c>
    </row>
    <row r="17" spans="2:18" ht="15">
      <c r="B17" s="114">
        <v>7</v>
      </c>
      <c r="C17" s="130" t="s">
        <v>603</v>
      </c>
      <c r="D17" s="131"/>
      <c r="E17" s="132"/>
      <c r="F17" s="118">
        <v>5</v>
      </c>
      <c r="G17" s="119" t="s">
        <v>22</v>
      </c>
      <c r="H17" s="85">
        <f t="shared" si="2"/>
        <v>26943</v>
      </c>
      <c r="I17" s="109">
        <v>0</v>
      </c>
      <c r="J17" s="85">
        <f t="shared" si="0"/>
        <v>134715</v>
      </c>
      <c r="K17" s="105">
        <v>7</v>
      </c>
      <c r="L17" s="29"/>
      <c r="M17" s="29">
        <f>44905*0.6</f>
        <v>26943</v>
      </c>
      <c r="N17" s="29"/>
      <c r="O17" s="29"/>
      <c r="P17" s="30">
        <v>1</v>
      </c>
      <c r="Q17" s="31">
        <f>M17</f>
        <v>26943</v>
      </c>
      <c r="R17" s="35">
        <f t="shared" si="1"/>
        <v>26943</v>
      </c>
    </row>
    <row r="18" spans="2:18" ht="15">
      <c r="B18" s="114">
        <v>8</v>
      </c>
      <c r="C18" s="130" t="s">
        <v>605</v>
      </c>
      <c r="D18" s="131"/>
      <c r="E18" s="132"/>
      <c r="F18" s="118">
        <v>20</v>
      </c>
      <c r="G18" s="119" t="s">
        <v>22</v>
      </c>
      <c r="H18" s="85">
        <f t="shared" si="2"/>
        <v>0</v>
      </c>
      <c r="I18" s="109">
        <v>0</v>
      </c>
      <c r="J18" s="85">
        <f t="shared" si="0"/>
        <v>0</v>
      </c>
      <c r="K18" s="105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1"/>
        <v>0</v>
      </c>
    </row>
    <row r="19" spans="2:18" ht="15">
      <c r="B19" s="114">
        <v>9</v>
      </c>
      <c r="C19" s="130" t="s">
        <v>606</v>
      </c>
      <c r="D19" s="131"/>
      <c r="E19" s="132"/>
      <c r="F19" s="118">
        <v>20</v>
      </c>
      <c r="G19" s="119" t="s">
        <v>22</v>
      </c>
      <c r="H19" s="85">
        <f t="shared" si="2"/>
        <v>0</v>
      </c>
      <c r="I19" s="109">
        <v>0</v>
      </c>
      <c r="J19" s="85">
        <f t="shared" si="0"/>
        <v>0</v>
      </c>
      <c r="K19" s="105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1"/>
        <v>0</v>
      </c>
    </row>
    <row r="20" spans="2:18" ht="15">
      <c r="B20" s="114">
        <v>10</v>
      </c>
      <c r="C20" s="130" t="s">
        <v>600</v>
      </c>
      <c r="D20" s="131"/>
      <c r="E20" s="132"/>
      <c r="F20" s="118"/>
      <c r="G20" s="119"/>
      <c r="H20" s="85">
        <f t="shared" si="2"/>
        <v>0</v>
      </c>
      <c r="I20" s="109">
        <v>0</v>
      </c>
      <c r="J20" s="85">
        <f t="shared" si="0"/>
        <v>0</v>
      </c>
      <c r="K20" s="100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1"/>
        <v>0</v>
      </c>
    </row>
    <row r="21" spans="2:18" ht="15">
      <c r="B21" s="114">
        <v>11</v>
      </c>
      <c r="C21" s="130" t="s">
        <v>607</v>
      </c>
      <c r="D21" s="131"/>
      <c r="E21" s="132"/>
      <c r="F21" s="118"/>
      <c r="G21" s="119"/>
      <c r="H21" s="85">
        <f t="shared" si="2"/>
        <v>0</v>
      </c>
      <c r="I21" s="109">
        <v>0</v>
      </c>
      <c r="J21" s="85">
        <f t="shared" si="0"/>
        <v>0</v>
      </c>
      <c r="K21" s="100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114">
        <v>12</v>
      </c>
      <c r="C22" s="130" t="s">
        <v>608</v>
      </c>
      <c r="D22" s="131"/>
      <c r="E22" s="132"/>
      <c r="F22" s="118"/>
      <c r="G22" s="119"/>
      <c r="H22" s="85">
        <f t="shared" si="2"/>
        <v>0</v>
      </c>
      <c r="I22" s="109">
        <v>0</v>
      </c>
      <c r="J22" s="85">
        <f t="shared" si="0"/>
        <v>0</v>
      </c>
      <c r="K22" s="100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9">
        <v>13</v>
      </c>
      <c r="C23" s="133"/>
      <c r="D23" s="134"/>
      <c r="E23" s="135"/>
      <c r="F23" s="89"/>
      <c r="G23" s="58"/>
      <c r="H23" s="85">
        <f t="shared" si="2"/>
        <v>0</v>
      </c>
      <c r="I23" s="109">
        <v>0</v>
      </c>
      <c r="J23" s="85">
        <f t="shared" si="0"/>
        <v>0</v>
      </c>
      <c r="K23" s="100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9">
        <v>14</v>
      </c>
      <c r="C24" s="133"/>
      <c r="D24" s="134"/>
      <c r="E24" s="135"/>
      <c r="F24" s="89"/>
      <c r="G24" s="58"/>
      <c r="H24" s="85">
        <f t="shared" si="2"/>
        <v>0</v>
      </c>
      <c r="I24" s="109">
        <v>0</v>
      </c>
      <c r="J24" s="85">
        <f t="shared" si="0"/>
        <v>0</v>
      </c>
      <c r="K24" s="100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9">
        <v>15</v>
      </c>
      <c r="C25" s="55"/>
      <c r="D25" s="56"/>
      <c r="E25" s="57"/>
      <c r="F25" s="89"/>
      <c r="G25" s="58"/>
      <c r="H25" s="85">
        <f t="shared" si="2"/>
        <v>0</v>
      </c>
      <c r="I25" s="109">
        <v>0</v>
      </c>
      <c r="J25" s="85">
        <f t="shared" si="0"/>
        <v>0</v>
      </c>
      <c r="K25" s="100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9">
        <v>16</v>
      </c>
      <c r="C26" s="55"/>
      <c r="D26" s="56"/>
      <c r="E26" s="57"/>
      <c r="F26" s="89"/>
      <c r="G26" s="58"/>
      <c r="H26" s="85">
        <f t="shared" si="2"/>
        <v>0</v>
      </c>
      <c r="I26" s="109">
        <v>0</v>
      </c>
      <c r="J26" s="85">
        <f t="shared" si="0"/>
        <v>0</v>
      </c>
      <c r="K26" s="100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9">
        <v>17</v>
      </c>
      <c r="C27" s="55"/>
      <c r="D27" s="56"/>
      <c r="E27" s="57"/>
      <c r="F27" s="89"/>
      <c r="G27" s="58"/>
      <c r="H27" s="85">
        <f t="shared" si="2"/>
        <v>0</v>
      </c>
      <c r="I27" s="109">
        <v>0</v>
      </c>
      <c r="J27" s="85">
        <f t="shared" si="0"/>
        <v>0</v>
      </c>
      <c r="K27" s="100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9">
        <v>18</v>
      </c>
      <c r="C28" s="59"/>
      <c r="D28" s="60"/>
      <c r="E28" s="61"/>
      <c r="F28" s="89"/>
      <c r="G28" s="58"/>
      <c r="H28" s="86">
        <f t="shared" si="2"/>
        <v>0</v>
      </c>
      <c r="I28" s="111">
        <v>0</v>
      </c>
      <c r="J28" s="86">
        <f t="shared" si="0"/>
        <v>0</v>
      </c>
      <c r="K28" s="100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ht="15">
      <c r="B29" s="62" t="s">
        <v>16</v>
      </c>
      <c r="C29" s="90"/>
      <c r="D29" s="42"/>
      <c r="E29" s="42"/>
      <c r="F29" s="63"/>
      <c r="G29" s="64" t="s">
        <v>3</v>
      </c>
      <c r="H29" s="65"/>
      <c r="I29" s="66"/>
      <c r="J29" s="74">
        <f>SUM(J11:J28)</f>
        <v>194085.8</v>
      </c>
      <c r="R29" s="101"/>
    </row>
    <row r="30" spans="2:10" ht="15.75" thickBot="1">
      <c r="B30" s="67"/>
      <c r="C30" s="68"/>
      <c r="D30" s="69"/>
      <c r="E30" s="42"/>
      <c r="F30" s="70"/>
      <c r="G30" s="71" t="s">
        <v>12</v>
      </c>
      <c r="H30" s="72"/>
      <c r="I30" s="73"/>
      <c r="J30" s="74">
        <f>J29*I30</f>
        <v>0</v>
      </c>
    </row>
    <row r="31" spans="2:23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194085.8</v>
      </c>
      <c r="M31" s="124"/>
      <c r="N31" s="125"/>
      <c r="O31" s="126"/>
      <c r="P31" s="29"/>
      <c r="Q31" s="29"/>
      <c r="W31" s="102"/>
    </row>
    <row r="32" spans="2:23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36876.301999999996</v>
      </c>
      <c r="M32" s="127"/>
      <c r="N32" s="128"/>
      <c r="O32" s="129"/>
      <c r="P32" s="29"/>
      <c r="Q32" s="29"/>
      <c r="W32" s="102"/>
    </row>
    <row r="33" spans="2:23" ht="15.75" thickBot="1">
      <c r="B33" s="46"/>
      <c r="C33" s="47"/>
      <c r="D33" s="47"/>
      <c r="E33" s="47"/>
      <c r="F33" s="78"/>
      <c r="G33" s="79" t="s">
        <v>2</v>
      </c>
      <c r="H33" s="80"/>
      <c r="I33" s="81"/>
      <c r="J33" s="82">
        <f>J31+J32</f>
        <v>230962.10199999998</v>
      </c>
      <c r="M33" s="127"/>
      <c r="N33" s="128"/>
      <c r="O33" s="129"/>
      <c r="P33" s="29"/>
      <c r="Q33" s="29"/>
      <c r="W33" s="102"/>
    </row>
    <row r="34" spans="13:23" ht="15">
      <c r="M34" s="127"/>
      <c r="N34" s="128"/>
      <c r="O34" s="129"/>
      <c r="P34" s="29"/>
      <c r="Q34" s="29"/>
      <c r="W34" s="102"/>
    </row>
    <row r="36" ht="15">
      <c r="AB36" s="8">
        <f>+Y35+Z35+AA35+AB35</f>
        <v>0</v>
      </c>
    </row>
  </sheetData>
  <sheetProtection formatCells="0"/>
  <mergeCells count="24">
    <mergeCell ref="E5:J5"/>
    <mergeCell ref="F6:H6"/>
    <mergeCell ref="F7:H7"/>
    <mergeCell ref="B8:C8"/>
    <mergeCell ref="F8:H8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M31:O31"/>
    <mergeCell ref="M32:O32"/>
    <mergeCell ref="M33:O33"/>
    <mergeCell ref="M34:O34"/>
    <mergeCell ref="C20:E20"/>
    <mergeCell ref="C21:E21"/>
    <mergeCell ref="C22:E22"/>
    <mergeCell ref="C23:E23"/>
    <mergeCell ref="C24:E24"/>
  </mergeCells>
  <printOptions/>
  <pageMargins left="0.25" right="0.25" top="0.75" bottom="0.75" header="0.3" footer="0.3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5"/>
  <sheetViews>
    <sheetView tabSelected="1" zoomScalePageLayoutView="0" workbookViewId="0" topLeftCell="B19">
      <selection activeCell="J32" sqref="B1:J3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594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 t="s">
        <v>610</v>
      </c>
      <c r="K2" s="7" t="s">
        <v>594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5</v>
      </c>
      <c r="C4" s="38"/>
      <c r="D4" s="91" t="s">
        <v>579</v>
      </c>
      <c r="E4" s="38" t="s">
        <v>11</v>
      </c>
      <c r="F4" s="39"/>
      <c r="G4" s="39"/>
      <c r="H4" s="40"/>
      <c r="I4" s="38" t="s">
        <v>8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42" t="str">
        <f>VLOOKUP(D4,CLIENTES,4,FALSE)</f>
        <v>AV.PDTE.FREI MONTALVA 3899</v>
      </c>
      <c r="F5" s="142"/>
      <c r="G5" s="142"/>
      <c r="H5" s="142"/>
      <c r="I5" s="142"/>
      <c r="J5" s="143"/>
      <c r="K5" s="20"/>
    </row>
    <row r="6" spans="2:10" ht="17.25" customHeight="1">
      <c r="B6" s="41" t="s">
        <v>26</v>
      </c>
      <c r="C6" s="42"/>
      <c r="D6" s="93" t="str">
        <f>VLOOKUP(D4,CLIENTES,2,FALSE)</f>
        <v>MARZULLO S.A.</v>
      </c>
      <c r="E6" s="42" t="s">
        <v>6</v>
      </c>
      <c r="F6" s="144">
        <f>VLOOKUP(D4,CLIENTES,5,FALSE)</f>
        <v>0</v>
      </c>
      <c r="G6" s="144"/>
      <c r="H6" s="144"/>
      <c r="I6" s="87">
        <f>VLOOKUP(D4,CLIENTES,11,FALSE)</f>
        <v>0</v>
      </c>
      <c r="J6" s="44"/>
    </row>
    <row r="7" spans="2:10" ht="15">
      <c r="B7" s="41" t="s">
        <v>24</v>
      </c>
      <c r="C7" s="42"/>
      <c r="D7" s="92">
        <f>VLOOKUP(D4,CLIENTES,3,FALSE)</f>
        <v>0</v>
      </c>
      <c r="E7" s="42" t="s">
        <v>7</v>
      </c>
      <c r="F7" s="144" t="str">
        <f>VLOOKUP(D4,CLIENTES,6,FALSE)</f>
        <v>CONCHALI</v>
      </c>
      <c r="G7" s="144"/>
      <c r="H7" s="144"/>
      <c r="I7" s="42" t="s">
        <v>25</v>
      </c>
      <c r="J7" s="94" t="str">
        <f>VLOOKUP(D4,CLIENTES,8,FALSE)</f>
        <v>Luis Barriento Nuñez</v>
      </c>
    </row>
    <row r="8" spans="2:12" ht="15.75" thickBot="1">
      <c r="B8" s="145" t="s">
        <v>27</v>
      </c>
      <c r="C8" s="146"/>
      <c r="D8" s="92">
        <f>VLOOKUP(D4,CLIENTES,7,FALSE)</f>
        <v>0</v>
      </c>
      <c r="E8" s="42" t="s">
        <v>10</v>
      </c>
      <c r="F8" s="147">
        <f>VLOOKUP(D4,CLIENTES,12,FALSE)</f>
        <v>0</v>
      </c>
      <c r="G8" s="147"/>
      <c r="H8" s="147"/>
      <c r="I8" s="42" t="s">
        <v>13</v>
      </c>
      <c r="J8" s="45">
        <f ca="1">TODAY()</f>
        <v>41771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50" t="s">
        <v>1</v>
      </c>
      <c r="C10" s="136" t="s">
        <v>23</v>
      </c>
      <c r="D10" s="137"/>
      <c r="E10" s="138"/>
      <c r="F10" s="51" t="s">
        <v>0</v>
      </c>
      <c r="G10" s="52" t="s">
        <v>22</v>
      </c>
      <c r="H10" s="52" t="s">
        <v>14</v>
      </c>
      <c r="I10" s="53" t="s">
        <v>12</v>
      </c>
      <c r="J10" s="54" t="s">
        <v>2</v>
      </c>
      <c r="K10" s="24" t="s">
        <v>17</v>
      </c>
      <c r="L10" s="25" t="s">
        <v>612</v>
      </c>
      <c r="M10" s="25" t="s">
        <v>597</v>
      </c>
      <c r="N10" s="25" t="s">
        <v>604</v>
      </c>
      <c r="O10" s="25" t="s">
        <v>609</v>
      </c>
      <c r="P10" s="26" t="s">
        <v>15</v>
      </c>
      <c r="Q10" s="25" t="s">
        <v>18</v>
      </c>
      <c r="R10" s="27" t="s">
        <v>19</v>
      </c>
    </row>
    <row r="11" spans="2:18" ht="15">
      <c r="B11" s="88">
        <v>1</v>
      </c>
      <c r="C11" s="124" t="s">
        <v>596</v>
      </c>
      <c r="D11" s="125"/>
      <c r="E11" s="126"/>
      <c r="F11" s="97">
        <v>2</v>
      </c>
      <c r="G11" s="103" t="s">
        <v>22</v>
      </c>
      <c r="H11" s="84">
        <f>VLOOKUP(B11,COTIZADO,8,FALSE)</f>
        <v>8911.8</v>
      </c>
      <c r="I11" s="108">
        <v>5</v>
      </c>
      <c r="J11" s="84">
        <f aca="true" t="shared" si="0" ref="J11:J27">F11*H11*(1-I11/100)</f>
        <v>16932.42</v>
      </c>
      <c r="K11" s="28">
        <v>1</v>
      </c>
      <c r="L11" s="29"/>
      <c r="M11" s="112">
        <f>14853/2</f>
        <v>7426.5</v>
      </c>
      <c r="N11" s="29"/>
      <c r="O11" s="29"/>
      <c r="P11" s="30">
        <v>1.2</v>
      </c>
      <c r="Q11" s="113">
        <f>M11</f>
        <v>7426.5</v>
      </c>
      <c r="R11" s="35">
        <f>Q11*P11</f>
        <v>8911.8</v>
      </c>
    </row>
    <row r="12" spans="2:18" ht="15">
      <c r="B12" s="107">
        <v>3</v>
      </c>
      <c r="C12" s="127" t="s">
        <v>611</v>
      </c>
      <c r="D12" s="128"/>
      <c r="E12" s="129"/>
      <c r="F12" s="96">
        <v>2</v>
      </c>
      <c r="G12" s="104" t="s">
        <v>22</v>
      </c>
      <c r="H12" s="106">
        <f aca="true" t="shared" si="1" ref="H12:H27">VLOOKUP(B12,COTIZADO,8,FALSE)</f>
        <v>11184</v>
      </c>
      <c r="I12" s="110">
        <v>5</v>
      </c>
      <c r="J12" s="106">
        <f t="shared" si="0"/>
        <v>21249.6</v>
      </c>
      <c r="K12" s="28">
        <v>3</v>
      </c>
      <c r="L12" s="29">
        <v>6990</v>
      </c>
      <c r="M12" s="29"/>
      <c r="N12" s="29"/>
      <c r="O12" s="29"/>
      <c r="P12" s="30">
        <v>1.6</v>
      </c>
      <c r="Q12" s="31">
        <f>+L12</f>
        <v>6990</v>
      </c>
      <c r="R12" s="35">
        <f aca="true" t="shared" si="2" ref="R12:R27">Q12*P12</f>
        <v>11184</v>
      </c>
    </row>
    <row r="13" spans="2:18" ht="15">
      <c r="B13" s="107">
        <v>4</v>
      </c>
      <c r="C13" s="127" t="s">
        <v>600</v>
      </c>
      <c r="D13" s="128"/>
      <c r="E13" s="129"/>
      <c r="F13" s="96">
        <v>20</v>
      </c>
      <c r="G13" s="104" t="s">
        <v>22</v>
      </c>
      <c r="H13" s="106">
        <f t="shared" si="1"/>
        <v>294</v>
      </c>
      <c r="I13" s="110">
        <v>5</v>
      </c>
      <c r="J13" s="106">
        <f t="shared" si="0"/>
        <v>5586</v>
      </c>
      <c r="K13" s="28">
        <v>4</v>
      </c>
      <c r="L13" s="29"/>
      <c r="M13" s="29">
        <f>420*0.7</f>
        <v>294</v>
      </c>
      <c r="O13" s="29"/>
      <c r="P13" s="30">
        <v>1</v>
      </c>
      <c r="Q13" s="31">
        <f>+M13</f>
        <v>294</v>
      </c>
      <c r="R13" s="35">
        <f t="shared" si="2"/>
        <v>294</v>
      </c>
    </row>
    <row r="14" spans="2:18" ht="15">
      <c r="B14" s="114">
        <v>5</v>
      </c>
      <c r="C14" s="130" t="s">
        <v>601</v>
      </c>
      <c r="D14" s="131"/>
      <c r="E14" s="132"/>
      <c r="F14" s="118">
        <v>20</v>
      </c>
      <c r="G14" s="119" t="s">
        <v>22</v>
      </c>
      <c r="H14" s="85">
        <f t="shared" si="1"/>
        <v>448</v>
      </c>
      <c r="I14" s="109">
        <v>5</v>
      </c>
      <c r="J14" s="85">
        <f t="shared" si="0"/>
        <v>8512</v>
      </c>
      <c r="K14" s="105">
        <v>5</v>
      </c>
      <c r="L14" s="29"/>
      <c r="M14" s="29"/>
      <c r="N14" s="29">
        <v>280</v>
      </c>
      <c r="O14" s="29"/>
      <c r="P14" s="30">
        <v>1.6</v>
      </c>
      <c r="Q14" s="31">
        <f>+N14</f>
        <v>280</v>
      </c>
      <c r="R14" s="35">
        <f t="shared" si="2"/>
        <v>448</v>
      </c>
    </row>
    <row r="15" spans="2:18" ht="15">
      <c r="B15" s="114">
        <v>6</v>
      </c>
      <c r="C15" s="130" t="s">
        <v>602</v>
      </c>
      <c r="D15" s="131"/>
      <c r="E15" s="132"/>
      <c r="F15" s="118">
        <v>20</v>
      </c>
      <c r="G15" s="119" t="s">
        <v>22</v>
      </c>
      <c r="H15" s="85">
        <f t="shared" si="1"/>
        <v>75.2</v>
      </c>
      <c r="I15" s="109">
        <v>5</v>
      </c>
      <c r="J15" s="85">
        <f t="shared" si="0"/>
        <v>1428.8</v>
      </c>
      <c r="K15" s="105">
        <v>6</v>
      </c>
      <c r="L15" s="29"/>
      <c r="M15" s="29"/>
      <c r="N15" s="29">
        <v>47</v>
      </c>
      <c r="O15" s="29"/>
      <c r="P15" s="30">
        <v>1.6</v>
      </c>
      <c r="Q15" s="31">
        <f>+N15</f>
        <v>47</v>
      </c>
      <c r="R15" s="35">
        <f t="shared" si="2"/>
        <v>75.2</v>
      </c>
    </row>
    <row r="16" spans="2:18" ht="15">
      <c r="B16" s="114">
        <v>7</v>
      </c>
      <c r="C16" s="130" t="s">
        <v>603</v>
      </c>
      <c r="D16" s="131"/>
      <c r="E16" s="132"/>
      <c r="F16" s="118">
        <v>5</v>
      </c>
      <c r="G16" s="119" t="s">
        <v>22</v>
      </c>
      <c r="H16" s="85">
        <f t="shared" si="1"/>
        <v>26943</v>
      </c>
      <c r="I16" s="109">
        <v>5</v>
      </c>
      <c r="J16" s="85">
        <f t="shared" si="0"/>
        <v>127979.25</v>
      </c>
      <c r="K16" s="105">
        <v>7</v>
      </c>
      <c r="L16" s="29"/>
      <c r="M16" s="29">
        <f>44905*0.6</f>
        <v>26943</v>
      </c>
      <c r="N16" s="29"/>
      <c r="O16" s="29"/>
      <c r="P16" s="30">
        <v>1</v>
      </c>
      <c r="Q16" s="31">
        <f>M16</f>
        <v>26943</v>
      </c>
      <c r="R16" s="35">
        <f t="shared" si="2"/>
        <v>26943</v>
      </c>
    </row>
    <row r="17" spans="2:18" ht="15">
      <c r="B17" s="114">
        <v>8</v>
      </c>
      <c r="C17" s="130" t="s">
        <v>605</v>
      </c>
      <c r="D17" s="131"/>
      <c r="E17" s="132"/>
      <c r="F17" s="118">
        <v>20</v>
      </c>
      <c r="G17" s="119" t="s">
        <v>22</v>
      </c>
      <c r="H17" s="85">
        <f t="shared" si="1"/>
        <v>506.25</v>
      </c>
      <c r="I17" s="109">
        <v>5</v>
      </c>
      <c r="J17" s="85">
        <f t="shared" si="0"/>
        <v>9618.75</v>
      </c>
      <c r="K17" s="105">
        <v>8</v>
      </c>
      <c r="L17" s="29"/>
      <c r="M17" s="29"/>
      <c r="N17" s="29">
        <f>6640/50</f>
        <v>132.8</v>
      </c>
      <c r="O17" s="29">
        <v>225</v>
      </c>
      <c r="P17" s="30">
        <v>1.5</v>
      </c>
      <c r="Q17" s="31">
        <f>+O17*P17</f>
        <v>337.5</v>
      </c>
      <c r="R17" s="35">
        <f t="shared" si="2"/>
        <v>506.25</v>
      </c>
    </row>
    <row r="18" spans="2:18" ht="15">
      <c r="B18" s="114">
        <v>9</v>
      </c>
      <c r="C18" s="130" t="s">
        <v>606</v>
      </c>
      <c r="D18" s="131"/>
      <c r="E18" s="132"/>
      <c r="F18" s="118">
        <v>20</v>
      </c>
      <c r="G18" s="119" t="s">
        <v>22</v>
      </c>
      <c r="H18" s="85">
        <f t="shared" si="1"/>
        <v>143.36</v>
      </c>
      <c r="I18" s="109">
        <v>5</v>
      </c>
      <c r="J18" s="85">
        <f t="shared" si="0"/>
        <v>2723.84</v>
      </c>
      <c r="K18" s="105">
        <v>9</v>
      </c>
      <c r="L18" s="29"/>
      <c r="M18" s="29"/>
      <c r="N18" s="29">
        <f>23*100/20</f>
        <v>115</v>
      </c>
      <c r="O18" s="29">
        <v>56</v>
      </c>
      <c r="P18" s="30">
        <v>1.6</v>
      </c>
      <c r="Q18" s="31">
        <f>+O18*P18</f>
        <v>89.60000000000001</v>
      </c>
      <c r="R18" s="35">
        <f t="shared" si="2"/>
        <v>143.36</v>
      </c>
    </row>
    <row r="19" spans="2:18" ht="15">
      <c r="B19" s="114">
        <v>10</v>
      </c>
      <c r="C19" s="115" t="s">
        <v>607</v>
      </c>
      <c r="D19" s="116"/>
      <c r="E19" s="117"/>
      <c r="F19" s="118">
        <v>20</v>
      </c>
      <c r="G19" s="119" t="s">
        <v>22</v>
      </c>
      <c r="H19" s="85">
        <f t="shared" si="1"/>
        <v>87.04000000000002</v>
      </c>
      <c r="I19" s="109">
        <v>5</v>
      </c>
      <c r="J19" s="85">
        <f t="shared" si="0"/>
        <v>1653.7600000000002</v>
      </c>
      <c r="K19" s="100">
        <v>10</v>
      </c>
      <c r="L19" s="29"/>
      <c r="M19" s="29"/>
      <c r="N19" s="29">
        <f>24*100/20</f>
        <v>120</v>
      </c>
      <c r="O19" s="29">
        <v>34</v>
      </c>
      <c r="P19" s="30">
        <v>1.6</v>
      </c>
      <c r="Q19" s="31">
        <f>+O19*P19</f>
        <v>54.400000000000006</v>
      </c>
      <c r="R19" s="35">
        <f t="shared" si="2"/>
        <v>87.04000000000002</v>
      </c>
    </row>
    <row r="20" spans="2:18" ht="15">
      <c r="B20" s="114">
        <v>11</v>
      </c>
      <c r="C20" s="130" t="s">
        <v>608</v>
      </c>
      <c r="D20" s="131"/>
      <c r="E20" s="132"/>
      <c r="F20" s="118">
        <v>20</v>
      </c>
      <c r="G20" s="119" t="s">
        <v>22</v>
      </c>
      <c r="H20" s="85">
        <f t="shared" si="1"/>
        <v>76.80000000000001</v>
      </c>
      <c r="I20" s="109">
        <v>5</v>
      </c>
      <c r="J20" s="85">
        <f t="shared" si="0"/>
        <v>1459.2</v>
      </c>
      <c r="K20" s="100">
        <v>11</v>
      </c>
      <c r="L20" s="29"/>
      <c r="M20" s="29"/>
      <c r="N20" s="29">
        <f>12*100/20</f>
        <v>60</v>
      </c>
      <c r="O20" s="29">
        <v>30</v>
      </c>
      <c r="P20" s="30">
        <v>1.6</v>
      </c>
      <c r="Q20" s="31">
        <f>+O20*P20</f>
        <v>48</v>
      </c>
      <c r="R20" s="35">
        <f t="shared" si="2"/>
        <v>76.80000000000001</v>
      </c>
    </row>
    <row r="21" spans="2:18" ht="15">
      <c r="B21" s="107">
        <v>12</v>
      </c>
      <c r="C21" s="130" t="s">
        <v>613</v>
      </c>
      <c r="D21" s="131"/>
      <c r="E21" s="132"/>
      <c r="F21" s="118">
        <v>15</v>
      </c>
      <c r="G21" s="119" t="s">
        <v>22</v>
      </c>
      <c r="H21" s="85">
        <f t="shared" si="1"/>
        <v>289</v>
      </c>
      <c r="I21" s="109">
        <v>5</v>
      </c>
      <c r="J21" s="85">
        <f t="shared" si="0"/>
        <v>4118.25</v>
      </c>
      <c r="K21" s="100">
        <v>12</v>
      </c>
      <c r="L21" s="29"/>
      <c r="M21" s="29"/>
      <c r="N21" s="29"/>
      <c r="O21" s="29">
        <v>100</v>
      </c>
      <c r="P21" s="30">
        <v>1.7</v>
      </c>
      <c r="Q21" s="31">
        <f>+O21*P21</f>
        <v>170</v>
      </c>
      <c r="R21" s="35">
        <f t="shared" si="2"/>
        <v>289</v>
      </c>
    </row>
    <row r="22" spans="2:18" ht="15">
      <c r="B22" s="114">
        <v>13</v>
      </c>
      <c r="C22" s="145" t="s">
        <v>614</v>
      </c>
      <c r="D22" s="134"/>
      <c r="E22" s="135"/>
      <c r="F22" s="118">
        <v>8</v>
      </c>
      <c r="G22" s="119" t="s">
        <v>22</v>
      </c>
      <c r="H22" s="85">
        <v>480</v>
      </c>
      <c r="I22" s="109">
        <v>5</v>
      </c>
      <c r="J22" s="85">
        <f t="shared" si="0"/>
        <v>3648</v>
      </c>
      <c r="K22" s="100">
        <v>13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4"/>
      <c r="C23" s="145"/>
      <c r="D23" s="134"/>
      <c r="E23" s="135"/>
      <c r="F23" s="118"/>
      <c r="G23" s="119"/>
      <c r="H23" s="85"/>
      <c r="I23" s="109"/>
      <c r="J23" s="85"/>
      <c r="K23" s="100">
        <v>14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9"/>
      <c r="C24" s="121"/>
      <c r="D24" s="122"/>
      <c r="E24" s="123"/>
      <c r="F24" s="118"/>
      <c r="G24" s="119"/>
      <c r="H24" s="85"/>
      <c r="I24" s="109"/>
      <c r="J24" s="85"/>
      <c r="K24" s="100">
        <v>15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9">
        <v>16</v>
      </c>
      <c r="C25" s="55"/>
      <c r="D25" s="56"/>
      <c r="E25" s="57"/>
      <c r="F25" s="89"/>
      <c r="G25" s="58"/>
      <c r="H25" s="85">
        <f t="shared" si="1"/>
        <v>0</v>
      </c>
      <c r="I25" s="109">
        <v>0</v>
      </c>
      <c r="J25" s="85">
        <f t="shared" si="0"/>
        <v>0</v>
      </c>
      <c r="K25" s="100">
        <v>16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9">
        <v>17</v>
      </c>
      <c r="C26" s="55"/>
      <c r="D26" s="56"/>
      <c r="E26" s="57"/>
      <c r="F26" s="89"/>
      <c r="G26" s="58"/>
      <c r="H26" s="85">
        <f t="shared" si="1"/>
        <v>0</v>
      </c>
      <c r="I26" s="109">
        <v>0</v>
      </c>
      <c r="J26" s="85">
        <f t="shared" si="0"/>
        <v>0</v>
      </c>
      <c r="K26" s="100">
        <v>17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.75" thickBot="1">
      <c r="B27" s="99">
        <v>18</v>
      </c>
      <c r="C27" s="59"/>
      <c r="D27" s="60"/>
      <c r="E27" s="61"/>
      <c r="F27" s="89"/>
      <c r="G27" s="58"/>
      <c r="H27" s="86">
        <f t="shared" si="1"/>
        <v>0</v>
      </c>
      <c r="I27" s="111">
        <v>0</v>
      </c>
      <c r="J27" s="86">
        <f t="shared" si="0"/>
        <v>0</v>
      </c>
      <c r="K27" s="100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8" ht="15">
      <c r="B28" s="62" t="s">
        <v>16</v>
      </c>
      <c r="C28" s="90"/>
      <c r="D28" s="42"/>
      <c r="E28" s="42"/>
      <c r="F28" s="63"/>
      <c r="G28" s="64" t="s">
        <v>3</v>
      </c>
      <c r="H28" s="65"/>
      <c r="I28" s="66"/>
      <c r="J28" s="74">
        <f>SUM(J11:J27)</f>
        <v>204909.87000000002</v>
      </c>
      <c r="R28" s="101"/>
    </row>
    <row r="29" spans="2:10" ht="15.75" thickBot="1">
      <c r="B29" s="67"/>
      <c r="C29" s="69"/>
      <c r="D29" s="69"/>
      <c r="E29" s="42"/>
      <c r="F29" s="70"/>
      <c r="G29" s="71" t="s">
        <v>12</v>
      </c>
      <c r="H29" s="72"/>
      <c r="I29" s="73"/>
      <c r="J29" s="74">
        <f>J28*I29</f>
        <v>0</v>
      </c>
    </row>
    <row r="30" spans="2:23" ht="15">
      <c r="B30" s="41"/>
      <c r="C30" s="42"/>
      <c r="D30" s="42"/>
      <c r="E30" s="42"/>
      <c r="F30" s="75"/>
      <c r="G30" s="76" t="s">
        <v>4</v>
      </c>
      <c r="H30" s="68"/>
      <c r="I30" s="77"/>
      <c r="J30" s="74">
        <f>J28-J29</f>
        <v>204909.87000000002</v>
      </c>
      <c r="M30" s="124"/>
      <c r="N30" s="125"/>
      <c r="O30" s="126"/>
      <c r="P30" s="29"/>
      <c r="Q30" s="29"/>
      <c r="W30" s="102"/>
    </row>
    <row r="31" spans="2:23" ht="15">
      <c r="B31" s="41"/>
      <c r="C31" s="42"/>
      <c r="D31" s="42"/>
      <c r="E31" s="42"/>
      <c r="F31" s="70"/>
      <c r="G31" s="71">
        <v>0.19</v>
      </c>
      <c r="H31" s="72"/>
      <c r="I31" s="73">
        <v>0.19</v>
      </c>
      <c r="J31" s="74">
        <f>J30*I31</f>
        <v>38932.87530000001</v>
      </c>
      <c r="M31" s="127"/>
      <c r="N31" s="128"/>
      <c r="O31" s="129"/>
      <c r="P31" s="29"/>
      <c r="Q31" s="29"/>
      <c r="W31" s="102"/>
    </row>
    <row r="32" spans="2:23" ht="15.75" thickBot="1">
      <c r="B32" s="46"/>
      <c r="C32" s="47"/>
      <c r="D32" s="47"/>
      <c r="E32" s="47"/>
      <c r="F32" s="78"/>
      <c r="G32" s="79" t="s">
        <v>2</v>
      </c>
      <c r="H32" s="80"/>
      <c r="I32" s="81"/>
      <c r="J32" s="82">
        <f>J30+J31</f>
        <v>243842.74530000004</v>
      </c>
      <c r="M32" s="127"/>
      <c r="N32" s="128"/>
      <c r="O32" s="129"/>
      <c r="P32" s="29"/>
      <c r="Q32" s="29"/>
      <c r="W32" s="102"/>
    </row>
    <row r="33" spans="13:23" ht="15">
      <c r="M33" s="127"/>
      <c r="N33" s="128"/>
      <c r="O33" s="129"/>
      <c r="P33" s="29"/>
      <c r="Q33" s="29"/>
      <c r="W33" s="102"/>
    </row>
    <row r="35" ht="15">
      <c r="AB35" s="8">
        <f>+Y34+Z34+AA34+AB34</f>
        <v>0</v>
      </c>
    </row>
  </sheetData>
  <sheetProtection formatCells="0"/>
  <mergeCells count="22">
    <mergeCell ref="C20:E20"/>
    <mergeCell ref="C12:E12"/>
    <mergeCell ref="C13:E13"/>
    <mergeCell ref="C14:E14"/>
    <mergeCell ref="M30:O30"/>
    <mergeCell ref="M32:O32"/>
    <mergeCell ref="M33:O33"/>
    <mergeCell ref="C15:E15"/>
    <mergeCell ref="C21:E21"/>
    <mergeCell ref="C22:E22"/>
    <mergeCell ref="C23:E23"/>
    <mergeCell ref="C16:E16"/>
    <mergeCell ref="C17:E17"/>
    <mergeCell ref="C18:E18"/>
    <mergeCell ref="M31:O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5</v>
      </c>
      <c r="C1" t="s">
        <v>538</v>
      </c>
      <c r="D1" t="s">
        <v>539</v>
      </c>
      <c r="E1" t="s">
        <v>11</v>
      </c>
      <c r="F1" t="s">
        <v>6</v>
      </c>
      <c r="G1" t="s">
        <v>7</v>
      </c>
      <c r="H1" t="s">
        <v>552</v>
      </c>
      <c r="I1" t="s">
        <v>540</v>
      </c>
      <c r="J1" t="s">
        <v>541</v>
      </c>
      <c r="K1" t="s">
        <v>8</v>
      </c>
      <c r="L1" t="s">
        <v>9</v>
      </c>
      <c r="M1" t="s">
        <v>10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1" ht="15">
      <c r="A107">
        <v>106</v>
      </c>
      <c r="B107" s="36" t="s">
        <v>579</v>
      </c>
      <c r="C107" t="s">
        <v>580</v>
      </c>
      <c r="E107" t="s">
        <v>581</v>
      </c>
      <c r="G107" t="s">
        <v>120</v>
      </c>
      <c r="I107" t="s">
        <v>593</v>
      </c>
      <c r="K107" t="s">
        <v>582</v>
      </c>
    </row>
    <row r="108" spans="1:12" ht="15">
      <c r="A108">
        <v>107</v>
      </c>
      <c r="B108" s="36" t="s">
        <v>584</v>
      </c>
      <c r="C108" t="s">
        <v>583</v>
      </c>
      <c r="G108" t="s">
        <v>120</v>
      </c>
      <c r="I108" t="s">
        <v>585</v>
      </c>
      <c r="L108" s="98" t="s">
        <v>586</v>
      </c>
    </row>
    <row r="109" spans="1:11" ht="15">
      <c r="A109">
        <v>108</v>
      </c>
      <c r="B109" s="36" t="s">
        <v>587</v>
      </c>
      <c r="C109" t="s">
        <v>588</v>
      </c>
      <c r="E109" t="s">
        <v>589</v>
      </c>
      <c r="F109" t="s">
        <v>590</v>
      </c>
      <c r="I109" t="s">
        <v>591</v>
      </c>
      <c r="K109" t="s">
        <v>592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2014-05-12T15:13:49Z</cp:lastPrinted>
  <dcterms:created xsi:type="dcterms:W3CDTF">2013-07-12T05:01:37Z</dcterms:created>
  <dcterms:modified xsi:type="dcterms:W3CDTF">2014-05-12T15:14:48Z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