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'COTIZACION'!$B$1:$J$51</definedName>
    <definedName name="CLIENTES">'CLIENTES'!$B$2:$M$201</definedName>
    <definedName name="COTIZADO" comment="VALORES COTIZADOS A PROVEEDORES">'COTIZACION'!$K$10:$R$46</definedName>
    <definedName name="VENTAFINAL" comment="PRECIO OFERTADO A CLIENTE">'COTIZACION'!$R$11:$R$46</definedName>
    <definedName name="Z_E08BD4BD_63D8_41E6_9AED_1C81DE76C4C8_.wvu.PrintArea" localSheetId="0" hidden="1">'COTIZACION'!$B$1:$J$51</definedName>
  </definedNames>
  <calcPr fullCalcOnLoad="1"/>
</workbook>
</file>

<file path=xl/sharedStrings.xml><?xml version="1.0" encoding="utf-8"?>
<sst xmlns="http://schemas.openxmlformats.org/spreadsheetml/2006/main" count="886" uniqueCount="622">
  <si>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</si>
  <si>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</si>
  <si>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</si>
  <si>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</si>
  <si>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</si>
  <si>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</si>
  <si>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</si>
  <si>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</si>
  <si>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</si>
  <si>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</si>
  <si>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</si>
  <si>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</si>
  <si>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</si>
  <si>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</si>
  <si>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</si>
  <si>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</si>
  <si>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</si>
  <si>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</si>
  <si>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</si>
  <si>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</si>
  <si>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</si>
  <si>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</si>
  <si>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</si>
  <si>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</si>
  <si>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</si>
  <si>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</si>
  <si>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</si>
  <si>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</si>
  <si>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</si>
  <si>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</si>
  <si>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</si>
  <si>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</si>
  <si>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</si>
  <si>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</si>
  <si>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</si>
  <si>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</si>
  <si>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</si>
  <si>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</si>
  <si>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</si>
  <si>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</si>
  <si>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</si>
  <si>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</si>
  <si>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</si>
  <si>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</si>
  <si>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</si>
  <si>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</si>
  <si>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</si>
  <si>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</si>
  <si>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</si>
  <si>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</si>
  <si>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</si>
  <si>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</si>
  <si>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</si>
  <si>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</si>
  <si>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</si>
  <si>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</si>
  <si>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</si>
  <si>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</si>
  <si>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</si>
  <si>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</si>
  <si>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</si>
  <si>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</si>
  <si>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</si>
  <si>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</si>
  <si>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</si>
  <si>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</si>
  <si>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</si>
  <si>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</si>
  <si>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</si>
  <si>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</si>
  <si>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</si>
  <si>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</si>
  <si>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</si>
  <si>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</si>
  <si>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</si>
  <si>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</si>
  <si>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</si>
  <si>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</si>
  <si>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</si>
  <si>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</si>
  <si>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</si>
  <si>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</si>
  <si>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</si>
  <si>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</si>
  <si>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</si>
  <si>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</si>
  <si>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</si>
  <si>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</si>
  <si>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</si>
  <si>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</si>
  <si>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</si>
  <si>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</si>
  <si>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</si>
  <si>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</si>
  <si>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</si>
  <si>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</si>
  <si>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</si>
  <si>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</si>
  <si>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</si>
  <si>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</si>
  <si>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</si>
  <si>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</si>
  <si>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</si>
  <si>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</si>
  <si>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</si>
  <si>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</si>
  <si>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</si>
  <si>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</si>
  <si>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</si>
  <si>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</si>
  <si>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</si>
  <si>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</si>
  <si>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</si>
  <si>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</si>
  <si>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</si>
  <si>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</si>
  <si>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</si>
  <si>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</si>
  <si>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</si>
  <si>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</si>
  <si>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</si>
  <si>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</si>
  <si>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</si>
  <si>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</si>
  <si>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</si>
  <si>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</si>
  <si>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</si>
  <si>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</si>
  <si>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</si>
  <si>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</si>
  <si>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</si>
  <si>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</si>
  <si>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</si>
  <si>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</si>
  <si>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</si>
  <si>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</si>
  <si>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</si>
  <si>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</si>
  <si>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</si>
  <si>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</si>
  <si>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</si>
  <si>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</si>
  <si>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</si>
  <si>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</si>
  <si>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</si>
  <si>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</si>
  <si>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</si>
  <si>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</si>
  <si>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</si>
  <si>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</si>
  <si>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</si>
  <si>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</si>
  <si>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</si>
  <si>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</si>
  <si>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</si>
  <si>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</si>
  <si>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</si>
  <si>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</si>
  <si>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</si>
  <si>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</si>
  <si>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</si>
  <si>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</si>
  <si>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</si>
  <si>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</si>
  <si>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</si>
  <si>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</si>
  <si>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</si>
  <si>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</si>
  <si>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</si>
  <si>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</si>
  <si>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</si>
  <si>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</si>
  <si>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</si>
  <si>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</si>
  <si>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</si>
  <si>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</si>
  <si>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</si>
  <si>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</si>
  <si>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</si>
  <si>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</si>
  <si>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</si>
  <si>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</si>
  <si>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</si>
  <si>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</si>
  <si>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</si>
  <si>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</si>
  <si>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</si>
  <si>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</si>
  <si>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</si>
  <si>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</si>
  <si>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</si>
  <si>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</si>
  <si>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</si>
  <si>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</si>
  <si>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</si>
  <si>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</si>
  <si>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</si>
  <si>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</si>
  <si>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</si>
  <si>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</si>
  <si>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</si>
  <si>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</si>
  <si>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</si>
  <si>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</si>
  <si>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</si>
  <si>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</si>
  <si>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</si>
  <si>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</si>
  <si>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</si>
  <si>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</si>
  <si>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</si>
  <si>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</si>
  <si>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</si>
  <si>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</si>
  <si>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</si>
  <si>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</si>
  <si>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</si>
  <si>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</si>
  <si>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</si>
  <si>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</si>
  <si>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</si>
  <si>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</si>
  <si>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</si>
  <si>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</si>
  <si>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</si>
  <si>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</si>
  <si>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</si>
  <si>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</si>
  <si>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</si>
  <si>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</si>
  <si>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</si>
  <si>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</si>
  <si>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</si>
  <si>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</si>
  <si>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</si>
  <si>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</si>
  <si>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</si>
  <si>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</si>
  <si>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</si>
  <si>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</si>
  <si>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</si>
  <si>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</si>
  <si>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</si>
  <si>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</si>
  <si>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</si>
  <si>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</si>
  <si>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</si>
  <si>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</si>
  <si>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</si>
  <si>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</si>
  <si>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</si>
  <si>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</si>
  <si>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</si>
  <si>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</si>
  <si>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</si>
  <si>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</si>
  <si>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</si>
  <si>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</si>
  <si>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</si>
  <si>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</si>
  <si>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</si>
  <si>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</si>
  <si>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</si>
  <si>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</si>
  <si>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</si>
  <si>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</si>
  <si>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</si>
  <si>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</si>
  <si>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</si>
  <si>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</si>
  <si>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</si>
  <si>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</si>
  <si>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</si>
  <si>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</si>
  <si>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</si>
  <si>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</si>
  <si>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</si>
  <si>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</si>
  <si>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</si>
  <si>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</si>
  <si>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</si>
  <si>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</si>
  <si>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</si>
  <si>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</si>
  <si>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</si>
  <si>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</si>
  <si>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</si>
  <si>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</si>
  <si>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</si>
  <si>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</si>
  <si>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</si>
  <si>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</si>
  <si>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</si>
  <si>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</si>
  <si>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</si>
  <si>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</si>
  <si>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</si>
  <si>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</si>
  <si>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</si>
  <si>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</si>
  <si>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</si>
  <si>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</si>
  <si>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</si>
  <si>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</si>
  <si>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</si>
  <si>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</si>
  <si>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</si>
  <si>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</si>
  <si>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</si>
  <si>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</si>
  <si>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</si>
  <si>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</si>
  <si>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</si>
  <si>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</si>
  <si>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</si>
  <si>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</si>
  <si>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</si>
  <si>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</si>
  <si>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</si>
  <si>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</si>
  <si>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</si>
  <si>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</si>
  <si>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</si>
  <si>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</si>
  <si>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</si>
  <si>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</si>
  <si>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</si>
  <si>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</si>
  <si>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</si>
  <si>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</si>
  <si>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</si>
  <si>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</si>
  <si>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</si>
  <si>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</si>
  <si>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</si>
  <si>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</si>
  <si>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</si>
  <si>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</si>
  <si>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</si>
  <si>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</si>
  <si>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</si>
  <si>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</si>
  <si>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</si>
  <si>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</si>
  <si>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</si>
  <si>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</si>
  <si>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</si>
  <si>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</si>
  <si>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</si>
  <si>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</si>
  <si>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</si>
  <si>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</si>
  <si>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</si>
  <si>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</si>
  <si>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</si>
  <si>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</si>
  <si>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</si>
  <si>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</si>
  <si>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</si>
  <si>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</si>
  <si>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</si>
  <si>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</si>
  <si>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</si>
  <si>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</si>
  <si>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</si>
  <si>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</si>
  <si>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</si>
  <si>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</si>
  <si>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</si>
  <si>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</si>
  <si>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</si>
  <si>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</si>
  <si>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</si>
  <si>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</si>
  <si>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</si>
  <si>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</si>
  <si>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</si>
  <si>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</si>
  <si>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</si>
  <si>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</si>
  <si>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</si>
  <si>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</si>
  <si>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</si>
  <si>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</si>
  <si>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</si>
  <si>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</si>
  <si>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</si>
  <si>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</si>
  <si>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</si>
  <si>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</si>
  <si>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</si>
  <si>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</si>
  <si>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</si>
  <si>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</si>
  <si>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</si>
  <si>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</si>
  <si>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</si>
  <si>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</si>
  <si>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</si>
  <si>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</si>
  <si>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</si>
  <si>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</si>
  <si>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</si>
  <si>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</si>
  <si>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</si>
  <si>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</si>
  <si>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</si>
  <si>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</si>
  <si>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</si>
  <si>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</si>
  <si>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</si>
  <si>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</si>
  <si>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</si>
  <si>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</si>
  <si>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</si>
  <si>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</si>
  <si>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</si>
  <si>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</si>
  <si>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</si>
  <si>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</si>
  <si>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</si>
  <si>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</si>
  <si>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</si>
  <si>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</si>
  <si>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</si>
  <si>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</si>
  <si>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</si>
  <si>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</si>
  <si>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</si>
  <si>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</si>
  <si>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</si>
  <si>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</si>
  <si>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</si>
  <si>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</si>
  <si>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</si>
  <si>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</si>
  <si>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</si>
  <si>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</si>
  <si>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</si>
  <si>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</si>
  <si>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</si>
  <si>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</si>
  <si>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</si>
  <si>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</si>
  <si>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</si>
  <si>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</si>
  <si>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</si>
  <si>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</si>
  <si>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</si>
  <si>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</si>
  <si>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</si>
  <si>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</si>
  <si>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</si>
  <si>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</si>
  <si>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</si>
  <si>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</si>
  <si>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</si>
  <si>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</si>
  <si>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</si>
  <si>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</si>
  <si>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</si>
  <si>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</si>
  <si>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</si>
  <si>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</si>
  <si>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</si>
  <si>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</si>
  <si>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</si>
  <si>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</si>
  <si>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</si>
  <si>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</si>
  <si>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</si>
  <si>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</si>
  <si>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</si>
  <si>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</si>
  <si>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</si>
  <si>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</si>
  <si>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</si>
  <si>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</si>
  <si>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</si>
  <si>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</si>
  <si>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</si>
  <si>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</si>
  <si>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</si>
  <si>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</si>
  <si>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</si>
  <si>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</si>
  <si>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</si>
  <si>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</si>
  <si>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</si>
  <si>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</si>
  <si>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</si>
  <si>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</si>
  <si>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</si>
  <si>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</si>
  <si>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</si>
  <si>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</si>
  <si>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</si>
  <si>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</si>
  <si>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</si>
  <si>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</si>
  <si>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</si>
  <si>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</si>
  <si>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</si>
  <si>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</si>
  <si>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</si>
  <si>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</si>
  <si>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</si>
  <si>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</si>
  <si>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</si>
  <si>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</si>
  <si>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</si>
  <si>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</si>
  <si>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</si>
  <si>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</si>
  <si>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</si>
  <si>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</si>
  <si>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</si>
  <si>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</si>
  <si>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</si>
  <si>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</si>
  <si>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</si>
  <si>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</si>
  <si>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</si>
  <si>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</si>
  <si>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</si>
  <si>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</si>
  <si>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</si>
  <si>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</si>
  <si>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</si>
  <si>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</si>
  <si>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</si>
  <si>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</si>
  <si>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</si>
  <si>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</si>
  <si>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</si>
  <si>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</si>
  <si>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</si>
  <si>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</si>
  <si>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</si>
  <si>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</si>
  <si>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</si>
  <si>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</si>
  <si>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</si>
  <si>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</si>
  <si>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</si>
  <si>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</si>
  <si>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</si>
  <si>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</si>
  <si>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</si>
  <si>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</si>
  <si>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</si>
  <si>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</si>
  <si>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</si>
  <si>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</si>
  <si>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</si>
  <si>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</si>
  <si>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</si>
  <si>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</si>
  <si>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</si>
  <si>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</si>
  <si>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</si>
  <si>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</si>
  <si>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</si>
  <si>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</si>
  <si>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</si>
  <si>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</si>
  <si>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</si>
  <si>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</si>
  <si>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</si>
  <si>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</si>
  <si>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</si>
  <si>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</si>
  <si>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</si>
  <si>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</si>
  <si>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</si>
  <si>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</si>
  <si>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</si>
  <si>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</si>
  <si>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</si>
  <si>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</si>
  <si>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</si>
  <si>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</si>
  <si>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</si>
  <si>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</si>
  <si>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TUBO HIDRAULICO 4X0.5 MM</t>
  </si>
  <si>
    <t>m</t>
  </si>
  <si>
    <t>utecsa</t>
  </si>
  <si>
    <t>CONECTOR MACHO 4X1/8 NPT</t>
  </si>
  <si>
    <t>CODO DE 4MMX1/8 NPT</t>
  </si>
  <si>
    <t>UNION TUBO DE 4 MM</t>
  </si>
  <si>
    <t>ABRAZADERA ST 12 MM</t>
  </si>
  <si>
    <t>ABRAZADERA ST 6 MM</t>
  </si>
  <si>
    <t>ABRAZADERA ST 6 MM doble</t>
  </si>
  <si>
    <t>Adap. 4FJX-4MJ</t>
  </si>
  <si>
    <t>FLEXIBLE 04FJX -04FJX L. 3200 mm</t>
  </si>
  <si>
    <t>FLEXIBLE 04FJX -04 FJX90 L. 400 mm</t>
  </si>
  <si>
    <t>FLEXIBLE 04FJX -04 FJX90 L. 1500 mm</t>
  </si>
  <si>
    <t>FLEXIBLE 04FJX -04 FJX90 L. 3800 mm</t>
  </si>
  <si>
    <t>FLEXIBLE 04FJX -04 FJX90 L. 5300 mm</t>
  </si>
  <si>
    <t>FLEXIBLE 04FJX -04 FJX L. 5400 mm</t>
  </si>
  <si>
    <t>FLEXIBLE 04FJX -04 FJX L. 1100 mm</t>
  </si>
  <si>
    <t>ADAPTADOR HEMBRA 02FP-02FP</t>
  </si>
  <si>
    <t>ADAPTADOR  04MJ-04MJ</t>
  </si>
  <si>
    <t>CODO UNION 4MM</t>
  </si>
  <si>
    <t>ABRAZADERA ST 12 MM doble</t>
  </si>
  <si>
    <t>Adap. 4FJX-4MJ90</t>
  </si>
  <si>
    <t>FLEXIBLE R1 04FJX-04FJX L 2000 mm</t>
  </si>
  <si>
    <t>FLEXIBLE R1 04FJX-04FJX L 400 mm</t>
  </si>
  <si>
    <t>FLEXIBLE R1 04FJX-04FJX90 L 500 mm</t>
  </si>
  <si>
    <t>FLEXIBLE R1 04FJX-04FJX L 1000 mm(costo)</t>
  </si>
  <si>
    <t>FLEXIBLE R1 04FJX-04FJX L 5400 mm(costo)</t>
  </si>
  <si>
    <t>Adap. 4MJ-02MP</t>
  </si>
  <si>
    <t>FLEXIBLE MULTIPR  04FJX-04FJX L 600 mm</t>
  </si>
  <si>
    <t>FLEXIBLE MULTIPR  04FJX-04FJX L 2000 mm</t>
  </si>
  <si>
    <t>FLEXIBLE MULTIPR  04FJX-04FJX L 2700 mm</t>
  </si>
  <si>
    <t>FLEXIBLE MULTIPR  04FJX-04FJX L 4100 mm</t>
  </si>
  <si>
    <t>FLEXIBLE MULTIPR  04FJX-04FJX L 950 mm</t>
  </si>
  <si>
    <t>FLEXIBLE MULTIPR  04FJX-04FJX90 L 1500 mm</t>
  </si>
  <si>
    <t>FLEXIBLE MULTIPR  04FJX-04FJX90 L 3800 mm</t>
  </si>
  <si>
    <t>FLEXIBLE MULTIPR  04FJX-04FJX90 L 500 mm</t>
  </si>
  <si>
    <t>FLEXIBLE MULTIPR  04FJX-04FJX90 L 5300 mm</t>
  </si>
  <si>
    <t>FLEXIBLE MULTIPR  04FJX-04FJX90 L 400 mm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</si>
</sst>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3" fillId="33" borderId="11" xfId="0" applyFont="1" applyFill="1" applyBorder="1" applyAlignment="1" applyProtection="1">
      <alignment vertical="top" wrapText="1"/>
      <protection locked="0"/>
    </xf>
    <xf numFmtId="0" fontId="43" fillId="33" borderId="11" xfId="0" applyFont="1" applyFill="1" applyBorder="1" applyAlignment="1" applyProtection="1">
      <alignment horizontal="center" vertical="top" wrapText="1"/>
      <protection locked="0"/>
    </xf>
    <xf numFmtId="0" fontId="4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4" fillId="33" borderId="14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horizontal="left" vertical="center" wrapText="1"/>
      <protection locked="0"/>
    </xf>
    <xf numFmtId="0" fontId="44" fillId="33" borderId="0" xfId="0" applyFont="1" applyFill="1" applyBorder="1" applyAlignment="1" applyProtection="1">
      <alignment horizontal="center" vertical="center"/>
      <protection locked="0"/>
    </xf>
    <xf numFmtId="172" fontId="44" fillId="33" borderId="0" xfId="0" applyNumberFormat="1" applyFont="1" applyFill="1" applyBorder="1" applyAlignment="1" applyProtection="1">
      <alignment horizontal="center" vertical="center"/>
      <protection locked="0"/>
    </xf>
    <xf numFmtId="14" fontId="4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4" fillId="0" borderId="19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 locked="0"/>
    </xf>
    <xf numFmtId="0" fontId="44" fillId="0" borderId="20" xfId="0" applyFont="1" applyFill="1" applyBorder="1" applyAlignment="1" applyProtection="1">
      <alignment horizontal="center"/>
      <protection locked="0"/>
    </xf>
    <xf numFmtId="0" fontId="4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6" fillId="0" borderId="0" xfId="0" applyFont="1" applyAlignment="1" applyProtection="1">
      <alignment/>
      <protection locked="0"/>
    </xf>
    <xf numFmtId="0" fontId="46" fillId="0" borderId="2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0" fontId="44" fillId="33" borderId="22" xfId="0" applyFont="1" applyFill="1" applyBorder="1" applyAlignment="1" applyProtection="1">
      <alignment/>
      <protection locked="0"/>
    </xf>
    <xf numFmtId="3" fontId="4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47" fillId="0" borderId="13" xfId="45" applyNumberFormat="1" applyFont="1" applyFill="1" applyBorder="1" applyAlignment="1" applyProtection="1">
      <alignment horizontal="center" vertical="center"/>
      <protection locked="0"/>
    </xf>
    <xf numFmtId="174" fontId="23" fillId="33" borderId="23" xfId="0" applyNumberFormat="1" applyFont="1" applyFill="1" applyBorder="1" applyAlignment="1" applyProtection="1">
      <alignment horizontal="center"/>
      <protection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174" fontId="24" fillId="33" borderId="12" xfId="0" applyNumberFormat="1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/>
    </xf>
    <xf numFmtId="174" fontId="24" fillId="0" borderId="0" xfId="0" applyNumberFormat="1" applyFont="1" applyFill="1" applyBorder="1" applyAlignment="1" applyProtection="1">
      <alignment/>
      <protection/>
    </xf>
    <xf numFmtId="0" fontId="24" fillId="33" borderId="15" xfId="45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2" fontId="24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24" xfId="0" applyFont="1" applyFill="1" applyBorder="1" applyAlignment="1" applyProtection="1">
      <alignment/>
      <protection locked="0"/>
    </xf>
    <xf numFmtId="0" fontId="23" fillId="33" borderId="22" xfId="0" applyFont="1" applyFill="1" applyBorder="1" applyAlignment="1" applyProtection="1">
      <alignment/>
      <protection locked="0"/>
    </xf>
    <xf numFmtId="0" fontId="24" fillId="33" borderId="22" xfId="0" applyFont="1" applyFill="1" applyBorder="1" applyAlignment="1" applyProtection="1">
      <alignment/>
      <protection locked="0"/>
    </xf>
    <xf numFmtId="172" fontId="24" fillId="33" borderId="25" xfId="0" applyNumberFormat="1" applyFont="1" applyFill="1" applyBorder="1" applyAlignment="1" applyProtection="1">
      <alignment horizontal="left" vertical="center"/>
      <protection locked="0"/>
    </xf>
    <xf numFmtId="0" fontId="23" fillId="0" borderId="26" xfId="0" applyFont="1" applyBorder="1" applyAlignment="1" applyProtection="1">
      <alignment horizontal="center"/>
      <protection locked="0"/>
    </xf>
    <xf numFmtId="0" fontId="23" fillId="0" borderId="27" xfId="0" applyFont="1" applyBorder="1" applyAlignment="1" applyProtection="1">
      <alignment horizontal="center"/>
      <protection locked="0"/>
    </xf>
    <xf numFmtId="0" fontId="23" fillId="0" borderId="28" xfId="0" applyFont="1" applyBorder="1" applyAlignment="1" applyProtection="1">
      <alignment horizontal="center"/>
      <protection locked="0"/>
    </xf>
    <xf numFmtId="0" fontId="23" fillId="0" borderId="29" xfId="0" applyFont="1" applyBorder="1" applyAlignment="1" applyProtection="1">
      <alignment horizontal="center"/>
      <protection locked="0"/>
    </xf>
    <xf numFmtId="0" fontId="23" fillId="0" borderId="30" xfId="0" applyFont="1" applyBorder="1" applyAlignment="1" applyProtection="1">
      <alignment horizontal="center"/>
      <protection locked="0"/>
    </xf>
    <xf numFmtId="0" fontId="23" fillId="33" borderId="10" xfId="0" applyNumberFormat="1" applyFont="1" applyFill="1" applyBorder="1" applyAlignment="1" applyProtection="1">
      <alignment horizontal="center"/>
      <protection locked="0"/>
    </xf>
    <xf numFmtId="0" fontId="23" fillId="33" borderId="12" xfId="0" applyFont="1" applyFill="1" applyBorder="1" applyAlignment="1" applyProtection="1">
      <alignment horizontal="center"/>
      <protection locked="0"/>
    </xf>
    <xf numFmtId="174" fontId="23" fillId="33" borderId="26" xfId="0" applyNumberFormat="1" applyFont="1" applyFill="1" applyBorder="1" applyAlignment="1" applyProtection="1">
      <alignment horizontal="center"/>
      <protection/>
    </xf>
    <xf numFmtId="0" fontId="24" fillId="33" borderId="10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27" xfId="0" applyFont="1" applyFill="1" applyBorder="1" applyAlignment="1" applyProtection="1">
      <alignment horizontal="right" vertical="center"/>
      <protection locked="0"/>
    </xf>
    <xf numFmtId="0" fontId="23" fillId="33" borderId="11" xfId="0" applyFont="1" applyFill="1" applyBorder="1" applyAlignment="1" applyProtection="1">
      <alignment horizontal="right" vertical="center"/>
      <protection locked="0"/>
    </xf>
    <xf numFmtId="0" fontId="23" fillId="33" borderId="29" xfId="0" applyFont="1" applyFill="1" applyBorder="1" applyAlignment="1" applyProtection="1">
      <alignment horizontal="right"/>
      <protection locked="0"/>
    </xf>
    <xf numFmtId="0" fontId="23" fillId="33" borderId="14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right"/>
      <protection locked="0"/>
    </xf>
    <xf numFmtId="9" fontId="23" fillId="33" borderId="31" xfId="0" applyNumberFormat="1" applyFont="1" applyFill="1" applyBorder="1" applyAlignment="1" applyProtection="1">
      <alignment horizontal="right" vertical="center"/>
      <protection locked="0"/>
    </xf>
    <xf numFmtId="9" fontId="23" fillId="33" borderId="0" xfId="0" applyNumberFormat="1" applyFont="1" applyFill="1" applyBorder="1" applyAlignment="1" applyProtection="1">
      <alignment horizontal="right" vertical="center"/>
      <protection locked="0"/>
    </xf>
    <xf numFmtId="9" fontId="23" fillId="33" borderId="19" xfId="0" applyNumberFormat="1" applyFont="1" applyFill="1" applyBorder="1" applyAlignment="1" applyProtection="1">
      <alignment horizontal="center" vertical="center"/>
      <protection locked="0"/>
    </xf>
    <xf numFmtId="1" fontId="23" fillId="33" borderId="32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31" xfId="0" applyFont="1" applyFill="1" applyBorder="1" applyAlignment="1" applyProtection="1">
      <alignment horizontal="right" vertical="center"/>
      <protection locked="0"/>
    </xf>
    <xf numFmtId="0" fontId="23" fillId="33" borderId="19" xfId="0" applyFont="1" applyFill="1" applyBorder="1" applyAlignment="1" applyProtection="1">
      <alignment horizontal="right"/>
      <protection locked="0"/>
    </xf>
    <xf numFmtId="0" fontId="23" fillId="33" borderId="25" xfId="0" applyFont="1" applyFill="1" applyBorder="1" applyAlignment="1" applyProtection="1">
      <alignment/>
      <protection locked="0"/>
    </xf>
    <xf numFmtId="0" fontId="23" fillId="33" borderId="33" xfId="0" applyFont="1" applyFill="1" applyBorder="1" applyAlignment="1" applyProtection="1">
      <alignment horizontal="right" vertical="center"/>
      <protection locked="0"/>
    </xf>
    <xf numFmtId="0" fontId="23" fillId="33" borderId="22" xfId="0" applyFont="1" applyFill="1" applyBorder="1" applyAlignment="1" applyProtection="1">
      <alignment horizontal="right" vertical="center"/>
      <protection locked="0"/>
    </xf>
    <xf numFmtId="0" fontId="23" fillId="33" borderId="34" xfId="0" applyFont="1" applyFill="1" applyBorder="1" applyAlignment="1" applyProtection="1">
      <alignment horizontal="right"/>
      <protection locked="0"/>
    </xf>
    <xf numFmtId="1" fontId="23" fillId="33" borderId="35" xfId="0" applyNumberFormat="1" applyFont="1" applyFill="1" applyBorder="1" applyAlignment="1" applyProtection="1">
      <alignment horizontal="center"/>
      <protection/>
    </xf>
    <xf numFmtId="174" fontId="23" fillId="33" borderId="10" xfId="0" applyNumberFormat="1" applyFont="1" applyFill="1" applyBorder="1" applyAlignment="1" applyProtection="1">
      <alignment horizontal="center"/>
      <protection locked="0"/>
    </xf>
    <xf numFmtId="174" fontId="23" fillId="33" borderId="14" xfId="0" applyNumberFormat="1" applyFont="1" applyFill="1" applyBorder="1" applyAlignment="1" applyProtection="1">
      <alignment horizontal="center"/>
      <protection locked="0"/>
    </xf>
    <xf numFmtId="0" fontId="46" fillId="34" borderId="0" xfId="0" applyFont="1" applyFill="1" applyAlignment="1" applyProtection="1">
      <alignment/>
      <protection locked="0"/>
    </xf>
    <xf numFmtId="0" fontId="23" fillId="33" borderId="15" xfId="0" applyFont="1" applyFill="1" applyBorder="1" applyAlignment="1" applyProtection="1">
      <alignment horizontal="center"/>
      <protection locked="0"/>
    </xf>
    <xf numFmtId="0" fontId="38" fillId="34" borderId="0" xfId="0" applyFont="1" applyFill="1" applyAlignment="1" applyProtection="1">
      <alignment/>
      <protection locked="0"/>
    </xf>
    <xf numFmtId="0" fontId="23" fillId="0" borderId="14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/>
      <protection locked="0"/>
    </xf>
    <xf numFmtId="1" fontId="23" fillId="33" borderId="30" xfId="0" applyNumberFormat="1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5" fillId="0" borderId="15" xfId="0" applyFont="1" applyFill="1" applyBorder="1" applyAlignment="1" applyProtection="1">
      <alignment/>
      <protection locked="0"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 horizontal="left"/>
      <protection locked="0"/>
    </xf>
    <xf numFmtId="0" fontId="25" fillId="0" borderId="11" xfId="0" applyFont="1" applyFill="1" applyBorder="1" applyAlignment="1" applyProtection="1">
      <alignment/>
      <protection locked="0"/>
    </xf>
    <xf numFmtId="0" fontId="25" fillId="0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174" fontId="24" fillId="33" borderId="0" xfId="0" applyNumberFormat="1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51"/>
  <sheetViews>
    <sheetView tabSelected="1" zoomScalePageLayoutView="0" workbookViewId="0" topLeftCell="A1">
      <selection activeCell="K29" sqref="K2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140625" style="8" customWidth="1"/>
    <col min="12" max="12" width="5.7109375" style="8" customWidth="1"/>
    <col min="13" max="13" width="5.421875" style="8" customWidth="1"/>
    <col min="14" max="14" width="6.421875" style="8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5">
        <v>1656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5">
      <c r="B4" s="38" t="s">
        <v>6</v>
      </c>
      <c r="C4" s="39"/>
      <c r="D4" s="40" t="s">
        <v>582</v>
      </c>
      <c r="E4" s="39" t="s">
        <v>12</v>
      </c>
      <c r="F4" s="41"/>
      <c r="G4" s="41"/>
      <c r="H4" s="42"/>
      <c r="I4" s="39" t="s">
        <v>9</v>
      </c>
      <c r="J4" s="43">
        <f>VLOOKUP(D4,CLIENTES,10,FALSE)</f>
        <v>0</v>
      </c>
      <c r="K4" s="20"/>
    </row>
    <row r="5" spans="2:11" ht="15">
      <c r="B5" s="44"/>
      <c r="C5" s="45"/>
      <c r="D5" s="46"/>
      <c r="E5" s="109" t="str">
        <f>VLOOKUP(D4,CLIENTES,4,FALSE)</f>
        <v>AV FRESIA 2133</v>
      </c>
      <c r="F5" s="109"/>
      <c r="G5" s="109"/>
      <c r="H5" s="109"/>
      <c r="I5" s="109"/>
      <c r="J5" s="110"/>
      <c r="K5" s="20"/>
    </row>
    <row r="6" spans="2:10" ht="17.25" customHeight="1">
      <c r="B6" s="44" t="s">
        <v>27</v>
      </c>
      <c r="C6" s="45"/>
      <c r="D6" s="47" t="str">
        <f>VLOOKUP(D4,CLIENTES,2,FALSE)</f>
        <v>METALURGICA LA RIOJA LTDA</v>
      </c>
      <c r="E6" s="45" t="s">
        <v>7</v>
      </c>
      <c r="F6" s="109" t="str">
        <f>VLOOKUP(D4,CLIENTES,5,FALSE)</f>
        <v>RENCA</v>
      </c>
      <c r="G6" s="109"/>
      <c r="H6" s="109"/>
      <c r="I6" s="48">
        <f>VLOOKUP(D4,CLIENTES,11,FALSE)</f>
        <v>0</v>
      </c>
      <c r="J6" s="49"/>
    </row>
    <row r="7" spans="2:10" ht="15">
      <c r="B7" s="44" t="s">
        <v>25</v>
      </c>
      <c r="C7" s="45"/>
      <c r="D7" s="47">
        <f>VLOOKUP(D4,CLIENTES,3,FALSE)</f>
        <v>0</v>
      </c>
      <c r="E7" s="45" t="s">
        <v>8</v>
      </c>
      <c r="F7" s="109" t="str">
        <f>VLOOKUP(D4,CLIENTES,6,FALSE)</f>
        <v>STGO</v>
      </c>
      <c r="G7" s="109"/>
      <c r="H7" s="109"/>
      <c r="I7" s="45" t="s">
        <v>26</v>
      </c>
      <c r="J7" s="50" t="str">
        <f>VLOOKUP(D4,CLIENTES,8,FALSE)</f>
        <v>Moises Lagos</v>
      </c>
    </row>
    <row r="8" spans="2:12" ht="15.75" thickBot="1">
      <c r="B8" s="107" t="s">
        <v>28</v>
      </c>
      <c r="C8" s="108"/>
      <c r="D8" s="47">
        <f>VLOOKUP(D4,CLIENTES,7,FALSE)</f>
        <v>0</v>
      </c>
      <c r="E8" s="45" t="s">
        <v>11</v>
      </c>
      <c r="F8" s="109">
        <f>VLOOKUP(D4,CLIENTES,12,FALSE)</f>
        <v>0</v>
      </c>
      <c r="G8" s="109"/>
      <c r="H8" s="109"/>
      <c r="I8" s="45" t="s">
        <v>14</v>
      </c>
      <c r="J8" s="51">
        <f ca="1">TODAY()</f>
        <v>41778</v>
      </c>
      <c r="K8" s="20"/>
      <c r="L8" s="20">
        <f>1.7*(1-0.15)</f>
        <v>1.4449999999999998</v>
      </c>
    </row>
    <row r="9" spans="2:18" ht="16.5" thickBot="1" thickTop="1">
      <c r="B9" s="52"/>
      <c r="C9" s="53"/>
      <c r="D9" s="54"/>
      <c r="E9" s="53"/>
      <c r="F9" s="54"/>
      <c r="G9" s="54"/>
      <c r="H9" s="54"/>
      <c r="I9" s="53"/>
      <c r="J9" s="5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6" t="s">
        <v>1</v>
      </c>
      <c r="C10" s="101" t="s">
        <v>24</v>
      </c>
      <c r="D10" s="102"/>
      <c r="E10" s="103"/>
      <c r="F10" s="57" t="s">
        <v>0</v>
      </c>
      <c r="G10" s="58" t="s">
        <v>23</v>
      </c>
      <c r="H10" s="58" t="s">
        <v>15</v>
      </c>
      <c r="I10" s="59" t="s">
        <v>13</v>
      </c>
      <c r="J10" s="60" t="s">
        <v>2</v>
      </c>
      <c r="K10" s="24" t="s">
        <v>18</v>
      </c>
      <c r="L10" s="25" t="s">
        <v>586</v>
      </c>
      <c r="M10" s="25"/>
      <c r="N10" s="25" t="s">
        <v>0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61">
        <v>1</v>
      </c>
      <c r="C11" s="104" t="s">
        <v>584</v>
      </c>
      <c r="D11" s="105"/>
      <c r="E11" s="106"/>
      <c r="F11" s="62">
        <f>N11</f>
        <v>108</v>
      </c>
      <c r="G11" s="65" t="s">
        <v>585</v>
      </c>
      <c r="H11" s="63">
        <f>VLOOKUP(B11,COTIZADO,8,FALSE)</f>
        <v>1776.5</v>
      </c>
      <c r="I11" s="85">
        <v>15</v>
      </c>
      <c r="J11" s="63">
        <f>F11*H11*(1-I11/100)</f>
        <v>163082.69999999998</v>
      </c>
      <c r="K11" s="28">
        <v>1</v>
      </c>
      <c r="L11" s="29">
        <v>1045</v>
      </c>
      <c r="M11" s="29"/>
      <c r="N11" s="89">
        <f>18+12+12+42+24</f>
        <v>108</v>
      </c>
      <c r="O11" s="29"/>
      <c r="P11" s="30">
        <v>1.7</v>
      </c>
      <c r="Q11" s="31">
        <f aca="true" t="shared" si="0" ref="Q11:Q18">+L11</f>
        <v>1045</v>
      </c>
      <c r="R11" s="33">
        <f>Q11*P11</f>
        <v>1776.5</v>
      </c>
    </row>
    <row r="12" spans="2:18" ht="15">
      <c r="B12" s="37">
        <v>2</v>
      </c>
      <c r="C12" s="95" t="s">
        <v>587</v>
      </c>
      <c r="D12" s="96"/>
      <c r="E12" s="97"/>
      <c r="F12" s="88">
        <f aca="true" t="shared" si="1" ref="F12:F35">N12</f>
        <v>58</v>
      </c>
      <c r="G12" s="77" t="s">
        <v>23</v>
      </c>
      <c r="H12" s="36">
        <f aca="true" t="shared" si="2" ref="H12:H17">+R12</f>
        <v>1162.8</v>
      </c>
      <c r="I12" s="86">
        <v>15</v>
      </c>
      <c r="J12" s="36">
        <f>F12*H12*(1-I12/100)</f>
        <v>57326.03999999999</v>
      </c>
      <c r="K12" s="28">
        <v>2</v>
      </c>
      <c r="L12" s="29">
        <v>684</v>
      </c>
      <c r="M12" s="29"/>
      <c r="N12" s="87">
        <f>10+11+15+20+2</f>
        <v>58</v>
      </c>
      <c r="O12" s="29"/>
      <c r="P12" s="30">
        <v>1.7</v>
      </c>
      <c r="Q12" s="31">
        <f t="shared" si="0"/>
        <v>684</v>
      </c>
      <c r="R12" s="33">
        <f aca="true" t="shared" si="3" ref="R12:R25">Q12*P12</f>
        <v>1162.8</v>
      </c>
    </row>
    <row r="13" spans="2:18" ht="15">
      <c r="B13" s="37">
        <v>3</v>
      </c>
      <c r="C13" s="98" t="s">
        <v>588</v>
      </c>
      <c r="D13" s="99"/>
      <c r="E13" s="100"/>
      <c r="F13" s="88">
        <f t="shared" si="1"/>
        <v>15</v>
      </c>
      <c r="G13" s="77" t="s">
        <v>23</v>
      </c>
      <c r="H13" s="36">
        <f t="shared" si="2"/>
        <v>2964.7999999999997</v>
      </c>
      <c r="I13" s="86">
        <v>15</v>
      </c>
      <c r="J13" s="36">
        <f aca="true" t="shared" si="4" ref="J13:J20">F13*H13*(1-I13/100)</f>
        <v>37801.19999999999</v>
      </c>
      <c r="K13" s="28">
        <v>3</v>
      </c>
      <c r="L13" s="29">
        <v>1744</v>
      </c>
      <c r="M13" s="29"/>
      <c r="N13" s="87">
        <f>6+4+5</f>
        <v>15</v>
      </c>
      <c r="O13" s="29"/>
      <c r="P13" s="30">
        <v>1.7</v>
      </c>
      <c r="Q13" s="31">
        <f t="shared" si="0"/>
        <v>1744</v>
      </c>
      <c r="R13" s="33">
        <f t="shared" si="3"/>
        <v>2964.7999999999997</v>
      </c>
    </row>
    <row r="14" spans="2:18" ht="15">
      <c r="B14" s="37">
        <v>4</v>
      </c>
      <c r="C14" s="90" t="s">
        <v>589</v>
      </c>
      <c r="D14" s="91"/>
      <c r="E14" s="92"/>
      <c r="F14" s="88">
        <f t="shared" si="1"/>
        <v>5</v>
      </c>
      <c r="G14" s="77" t="s">
        <v>23</v>
      </c>
      <c r="H14" s="36">
        <f t="shared" si="2"/>
        <v>1224</v>
      </c>
      <c r="I14" s="86">
        <v>15</v>
      </c>
      <c r="J14" s="36">
        <f t="shared" si="4"/>
        <v>5202</v>
      </c>
      <c r="K14" s="28">
        <v>4</v>
      </c>
      <c r="L14" s="29">
        <v>720</v>
      </c>
      <c r="M14" s="29"/>
      <c r="N14" s="87">
        <f>5</f>
        <v>5</v>
      </c>
      <c r="O14" s="29"/>
      <c r="P14" s="30">
        <v>1.7</v>
      </c>
      <c r="Q14" s="31">
        <f t="shared" si="0"/>
        <v>720</v>
      </c>
      <c r="R14" s="33">
        <f t="shared" si="3"/>
        <v>1224</v>
      </c>
    </row>
    <row r="15" spans="2:18" ht="15">
      <c r="B15" s="37">
        <v>5</v>
      </c>
      <c r="C15" s="90" t="s">
        <v>590</v>
      </c>
      <c r="D15" s="91"/>
      <c r="E15" s="92"/>
      <c r="F15" s="88">
        <f t="shared" si="1"/>
        <v>34</v>
      </c>
      <c r="G15" s="77" t="s">
        <v>23</v>
      </c>
      <c r="H15" s="36">
        <f t="shared" si="2"/>
        <v>1428</v>
      </c>
      <c r="I15" s="86">
        <v>15</v>
      </c>
      <c r="J15" s="36">
        <f t="shared" si="4"/>
        <v>41269.2</v>
      </c>
      <c r="K15" s="28">
        <v>5</v>
      </c>
      <c r="L15" s="29">
        <v>840</v>
      </c>
      <c r="M15" s="29"/>
      <c r="N15" s="87">
        <f>10+4+20</f>
        <v>34</v>
      </c>
      <c r="O15" s="29"/>
      <c r="P15" s="30">
        <v>1.7</v>
      </c>
      <c r="Q15" s="31">
        <f t="shared" si="0"/>
        <v>840</v>
      </c>
      <c r="R15" s="33">
        <f t="shared" si="3"/>
        <v>1428</v>
      </c>
    </row>
    <row r="16" spans="2:18" ht="15">
      <c r="B16" s="37">
        <v>6</v>
      </c>
      <c r="C16" s="90" t="s">
        <v>591</v>
      </c>
      <c r="D16" s="91"/>
      <c r="E16" s="92"/>
      <c r="F16" s="88">
        <f t="shared" si="1"/>
        <v>12</v>
      </c>
      <c r="G16" s="77" t="s">
        <v>23</v>
      </c>
      <c r="H16" s="36">
        <f t="shared" si="2"/>
        <v>1428</v>
      </c>
      <c r="I16" s="86">
        <v>15</v>
      </c>
      <c r="J16" s="36">
        <f t="shared" si="4"/>
        <v>14565.6</v>
      </c>
      <c r="K16" s="28">
        <v>7</v>
      </c>
      <c r="L16" s="29">
        <v>840</v>
      </c>
      <c r="M16" s="29"/>
      <c r="N16" s="87">
        <f>5+1+2+4</f>
        <v>12</v>
      </c>
      <c r="O16" s="29"/>
      <c r="P16" s="30">
        <v>1.7</v>
      </c>
      <c r="Q16" s="31">
        <f t="shared" si="0"/>
        <v>840</v>
      </c>
      <c r="R16" s="33">
        <f t="shared" si="3"/>
        <v>1428</v>
      </c>
    </row>
    <row r="17" spans="2:18" ht="15">
      <c r="B17" s="37">
        <v>7</v>
      </c>
      <c r="C17" s="90" t="s">
        <v>601</v>
      </c>
      <c r="D17" s="91"/>
      <c r="E17" s="92"/>
      <c r="F17" s="88">
        <f>N17+20</f>
        <v>50</v>
      </c>
      <c r="G17" s="77" t="s">
        <v>23</v>
      </c>
      <c r="H17" s="36">
        <f t="shared" si="2"/>
        <v>1509.6</v>
      </c>
      <c r="I17" s="86">
        <v>15</v>
      </c>
      <c r="J17" s="36">
        <f t="shared" si="4"/>
        <v>64158</v>
      </c>
      <c r="K17" s="28">
        <v>8</v>
      </c>
      <c r="L17" s="29">
        <v>888</v>
      </c>
      <c r="M17" s="29"/>
      <c r="N17" s="89">
        <f>10+20</f>
        <v>30</v>
      </c>
      <c r="O17" s="29"/>
      <c r="P17" s="30">
        <v>1.7</v>
      </c>
      <c r="Q17" s="31">
        <f t="shared" si="0"/>
        <v>888</v>
      </c>
      <c r="R17" s="33">
        <f t="shared" si="3"/>
        <v>1509.6</v>
      </c>
    </row>
    <row r="18" spans="2:18" ht="15">
      <c r="B18" s="37">
        <v>8</v>
      </c>
      <c r="C18" s="90" t="s">
        <v>602</v>
      </c>
      <c r="D18" s="91"/>
      <c r="E18" s="92"/>
      <c r="F18" s="88">
        <f>N18+4</f>
        <v>24</v>
      </c>
      <c r="G18" s="77" t="s">
        <v>23</v>
      </c>
      <c r="H18" s="36">
        <v>890</v>
      </c>
      <c r="I18" s="86">
        <v>15</v>
      </c>
      <c r="J18" s="36">
        <f t="shared" si="4"/>
        <v>18156</v>
      </c>
      <c r="K18" s="28">
        <v>9</v>
      </c>
      <c r="L18" s="29">
        <v>523</v>
      </c>
      <c r="M18" s="29"/>
      <c r="N18" s="87">
        <f>5+10+5</f>
        <v>20</v>
      </c>
      <c r="O18" s="29"/>
      <c r="P18" s="30">
        <v>1.7</v>
      </c>
      <c r="Q18" s="31">
        <f t="shared" si="0"/>
        <v>523</v>
      </c>
      <c r="R18" s="33">
        <f t="shared" si="3"/>
        <v>889.1</v>
      </c>
    </row>
    <row r="19" spans="2:18" ht="15">
      <c r="B19" s="37">
        <v>9</v>
      </c>
      <c r="C19" s="90" t="s">
        <v>594</v>
      </c>
      <c r="D19" s="91"/>
      <c r="E19" s="92"/>
      <c r="F19" s="88">
        <f t="shared" si="1"/>
        <v>8</v>
      </c>
      <c r="G19" s="77" t="s">
        <v>23</v>
      </c>
      <c r="H19" s="36">
        <v>11424</v>
      </c>
      <c r="I19" s="86">
        <v>15</v>
      </c>
      <c r="J19" s="36">
        <f t="shared" si="4"/>
        <v>77683.2</v>
      </c>
      <c r="K19" s="28">
        <v>10</v>
      </c>
      <c r="L19" s="29"/>
      <c r="M19" s="29">
        <v>7730</v>
      </c>
      <c r="N19" s="87">
        <f>4+4</f>
        <v>8</v>
      </c>
      <c r="O19" s="29"/>
      <c r="P19" s="30">
        <v>1.7</v>
      </c>
      <c r="Q19" s="31">
        <f aca="true" t="shared" si="5" ref="Q19:Q25">+M19</f>
        <v>7730</v>
      </c>
      <c r="R19" s="33">
        <f t="shared" si="3"/>
        <v>13141</v>
      </c>
    </row>
    <row r="20" spans="2:18" ht="15">
      <c r="B20" s="37">
        <v>10</v>
      </c>
      <c r="C20" s="90" t="s">
        <v>595</v>
      </c>
      <c r="D20" s="91"/>
      <c r="E20" s="92"/>
      <c r="F20" s="88">
        <f t="shared" si="1"/>
        <v>8</v>
      </c>
      <c r="G20" s="77" t="s">
        <v>23</v>
      </c>
      <c r="H20" s="36">
        <v>6205</v>
      </c>
      <c r="I20" s="86">
        <v>15</v>
      </c>
      <c r="J20" s="36">
        <f t="shared" si="4"/>
        <v>42194</v>
      </c>
      <c r="K20" s="28">
        <v>11</v>
      </c>
      <c r="L20" s="29"/>
      <c r="M20" s="29">
        <v>4320</v>
      </c>
      <c r="N20" s="87">
        <f>4+4</f>
        <v>8</v>
      </c>
      <c r="O20" s="29"/>
      <c r="P20" s="30">
        <v>1.7</v>
      </c>
      <c r="Q20" s="31">
        <f t="shared" si="5"/>
        <v>4320</v>
      </c>
      <c r="R20" s="33">
        <f t="shared" si="3"/>
        <v>7344</v>
      </c>
    </row>
    <row r="21" spans="2:18" ht="15">
      <c r="B21" s="37">
        <v>11</v>
      </c>
      <c r="C21" s="90" t="s">
        <v>596</v>
      </c>
      <c r="D21" s="91"/>
      <c r="E21" s="92"/>
      <c r="F21" s="88">
        <f t="shared" si="1"/>
        <v>8</v>
      </c>
      <c r="G21" s="77" t="s">
        <v>23</v>
      </c>
      <c r="H21" s="36">
        <v>8330</v>
      </c>
      <c r="I21" s="86">
        <v>15</v>
      </c>
      <c r="J21" s="36">
        <f aca="true" t="shared" si="6" ref="J21:J26">F21*H21*(1-I21/100)</f>
        <v>56644</v>
      </c>
      <c r="K21" s="28">
        <v>12</v>
      </c>
      <c r="L21" s="29"/>
      <c r="M21" s="29">
        <v>3960</v>
      </c>
      <c r="N21" s="87">
        <f>4+4</f>
        <v>8</v>
      </c>
      <c r="O21" s="29"/>
      <c r="P21" s="30">
        <v>1.7</v>
      </c>
      <c r="Q21" s="31">
        <f t="shared" si="5"/>
        <v>3960</v>
      </c>
      <c r="R21" s="33">
        <f t="shared" si="3"/>
        <v>6732</v>
      </c>
    </row>
    <row r="22" spans="2:18" ht="15">
      <c r="B22" s="37">
        <v>12</v>
      </c>
      <c r="C22" s="90" t="s">
        <v>597</v>
      </c>
      <c r="D22" s="91"/>
      <c r="E22" s="92"/>
      <c r="F22" s="88">
        <f t="shared" si="1"/>
        <v>8</v>
      </c>
      <c r="G22" s="77" t="s">
        <v>23</v>
      </c>
      <c r="H22" s="36">
        <v>13634</v>
      </c>
      <c r="I22" s="86">
        <v>15</v>
      </c>
      <c r="J22" s="36">
        <f t="shared" si="6"/>
        <v>92711.2</v>
      </c>
      <c r="K22" s="28">
        <v>14</v>
      </c>
      <c r="L22" s="29"/>
      <c r="M22" s="29">
        <v>6190</v>
      </c>
      <c r="N22" s="87">
        <f>4+4</f>
        <v>8</v>
      </c>
      <c r="O22" s="29"/>
      <c r="P22" s="30">
        <v>1.7</v>
      </c>
      <c r="Q22" s="31">
        <f t="shared" si="5"/>
        <v>6190</v>
      </c>
      <c r="R22" s="33">
        <f t="shared" si="3"/>
        <v>10523</v>
      </c>
    </row>
    <row r="23" spans="2:18" ht="15">
      <c r="B23" s="37">
        <v>13</v>
      </c>
      <c r="C23" s="90" t="s">
        <v>598</v>
      </c>
      <c r="D23" s="91"/>
      <c r="E23" s="92"/>
      <c r="F23" s="88">
        <f t="shared" si="1"/>
        <v>4</v>
      </c>
      <c r="G23" s="77" t="s">
        <v>23</v>
      </c>
      <c r="H23" s="36">
        <v>16813</v>
      </c>
      <c r="I23" s="86">
        <v>15</v>
      </c>
      <c r="J23" s="36">
        <f t="shared" si="6"/>
        <v>57164.2</v>
      </c>
      <c r="K23" s="28">
        <v>15</v>
      </c>
      <c r="L23" s="29"/>
      <c r="M23" s="29">
        <v>8230</v>
      </c>
      <c r="N23" s="87">
        <f>2+2</f>
        <v>4</v>
      </c>
      <c r="O23" s="29"/>
      <c r="P23" s="30">
        <v>1.7</v>
      </c>
      <c r="Q23" s="31">
        <f t="shared" si="5"/>
        <v>8230</v>
      </c>
      <c r="R23" s="33">
        <f t="shared" si="3"/>
        <v>13991</v>
      </c>
    </row>
    <row r="24" spans="2:18" ht="15">
      <c r="B24" s="37">
        <v>14</v>
      </c>
      <c r="C24" s="90" t="s">
        <v>599</v>
      </c>
      <c r="D24" s="91"/>
      <c r="E24" s="92"/>
      <c r="F24" s="88">
        <f t="shared" si="1"/>
        <v>4</v>
      </c>
      <c r="G24" s="77" t="s">
        <v>23</v>
      </c>
      <c r="H24" s="36">
        <v>16864</v>
      </c>
      <c r="I24" s="86">
        <v>15</v>
      </c>
      <c r="J24" s="36">
        <f t="shared" si="6"/>
        <v>57337.6</v>
      </c>
      <c r="K24" s="28">
        <v>16</v>
      </c>
      <c r="L24" s="29"/>
      <c r="M24" s="29">
        <v>6660</v>
      </c>
      <c r="N24" s="87">
        <f>2+2</f>
        <v>4</v>
      </c>
      <c r="O24" s="29"/>
      <c r="P24" s="30">
        <v>1.7</v>
      </c>
      <c r="Q24" s="31">
        <f t="shared" si="5"/>
        <v>6660</v>
      </c>
      <c r="R24" s="33">
        <f t="shared" si="3"/>
        <v>11322</v>
      </c>
    </row>
    <row r="25" spans="2:18" ht="15">
      <c r="B25" s="37">
        <v>15</v>
      </c>
      <c r="C25" s="90" t="s">
        <v>600</v>
      </c>
      <c r="D25" s="91"/>
      <c r="E25" s="92"/>
      <c r="F25" s="88">
        <f t="shared" si="1"/>
        <v>16</v>
      </c>
      <c r="G25" s="77" t="s">
        <v>23</v>
      </c>
      <c r="H25" s="36">
        <v>7225</v>
      </c>
      <c r="I25" s="86">
        <v>15</v>
      </c>
      <c r="J25" s="36">
        <f t="shared" si="6"/>
        <v>98260</v>
      </c>
      <c r="K25" s="28">
        <v>17</v>
      </c>
      <c r="L25" s="29"/>
      <c r="M25" s="29">
        <v>3470</v>
      </c>
      <c r="N25" s="87">
        <f>8+8</f>
        <v>16</v>
      </c>
      <c r="O25" s="29"/>
      <c r="P25" s="30">
        <v>1.7</v>
      </c>
      <c r="Q25" s="31">
        <f t="shared" si="5"/>
        <v>3470</v>
      </c>
      <c r="R25" s="33">
        <f t="shared" si="3"/>
        <v>5899</v>
      </c>
    </row>
    <row r="26" spans="2:18" ht="15">
      <c r="B26" s="37">
        <v>16</v>
      </c>
      <c r="C26" s="90" t="s">
        <v>606</v>
      </c>
      <c r="D26" s="91"/>
      <c r="E26" s="92"/>
      <c r="F26" s="88">
        <f t="shared" si="1"/>
        <v>8</v>
      </c>
      <c r="G26" s="77" t="s">
        <v>23</v>
      </c>
      <c r="H26" s="36">
        <v>8330</v>
      </c>
      <c r="I26" s="86">
        <v>15</v>
      </c>
      <c r="J26" s="36">
        <f t="shared" si="6"/>
        <v>56644</v>
      </c>
      <c r="K26" s="28">
        <v>18</v>
      </c>
      <c r="L26" s="29"/>
      <c r="M26" s="29">
        <v>4610</v>
      </c>
      <c r="N26" s="87">
        <f>4+4</f>
        <v>8</v>
      </c>
      <c r="O26" s="29"/>
      <c r="P26" s="30"/>
      <c r="Q26" s="31"/>
      <c r="R26" s="33"/>
    </row>
    <row r="27" spans="2:18" ht="15">
      <c r="B27" s="37">
        <v>17</v>
      </c>
      <c r="C27" s="90" t="s">
        <v>607</v>
      </c>
      <c r="D27" s="91"/>
      <c r="E27" s="92"/>
      <c r="F27" s="88">
        <f t="shared" si="1"/>
        <v>4</v>
      </c>
      <c r="G27" s="77" t="s">
        <v>23</v>
      </c>
      <c r="H27" s="36">
        <v>6290</v>
      </c>
      <c r="I27" s="86">
        <v>15</v>
      </c>
      <c r="J27" s="36">
        <f aca="true" t="shared" si="7" ref="J27:J36">F27*H27*(1-I27/100)</f>
        <v>21386</v>
      </c>
      <c r="K27" s="28"/>
      <c r="L27" s="29"/>
      <c r="M27" s="29"/>
      <c r="N27" s="87">
        <f>4</f>
        <v>4</v>
      </c>
      <c r="O27" s="29"/>
      <c r="P27" s="30"/>
      <c r="Q27" s="31"/>
      <c r="R27" s="33"/>
    </row>
    <row r="28" spans="2:18" ht="15">
      <c r="B28" s="37">
        <v>18</v>
      </c>
      <c r="C28" s="90" t="s">
        <v>609</v>
      </c>
      <c r="D28" s="91"/>
      <c r="E28" s="92"/>
      <c r="F28" s="88">
        <f t="shared" si="1"/>
        <v>8</v>
      </c>
      <c r="G28" s="77" t="s">
        <v>23</v>
      </c>
      <c r="H28" s="36">
        <v>4680</v>
      </c>
      <c r="I28" s="86"/>
      <c r="J28" s="36">
        <f t="shared" si="7"/>
        <v>37440</v>
      </c>
      <c r="K28" s="28"/>
      <c r="L28" s="29"/>
      <c r="M28" s="29"/>
      <c r="N28" s="87">
        <f>8</f>
        <v>8</v>
      </c>
      <c r="O28" s="29"/>
      <c r="P28" s="30"/>
      <c r="Q28" s="31"/>
      <c r="R28" s="33"/>
    </row>
    <row r="29" spans="2:18" ht="15">
      <c r="B29" s="37">
        <v>19</v>
      </c>
      <c r="C29" s="90" t="s">
        <v>610</v>
      </c>
      <c r="D29" s="91"/>
      <c r="E29" s="92"/>
      <c r="F29" s="88">
        <f t="shared" si="1"/>
        <v>2</v>
      </c>
      <c r="G29" s="77" t="s">
        <v>23</v>
      </c>
      <c r="H29" s="36">
        <v>11986</v>
      </c>
      <c r="I29" s="86"/>
      <c r="J29" s="36">
        <f t="shared" si="7"/>
        <v>23972</v>
      </c>
      <c r="K29" s="28"/>
      <c r="L29" s="29"/>
      <c r="M29" s="29"/>
      <c r="N29" s="87">
        <f>2</f>
        <v>2</v>
      </c>
      <c r="O29" s="29"/>
      <c r="P29" s="30"/>
      <c r="Q29" s="31"/>
      <c r="R29" s="33"/>
    </row>
    <row r="30" spans="2:18" ht="15">
      <c r="B30" s="37">
        <v>20</v>
      </c>
      <c r="C30" s="90" t="s">
        <v>608</v>
      </c>
      <c r="D30" s="91"/>
      <c r="E30" s="92"/>
      <c r="F30" s="88">
        <f t="shared" si="1"/>
        <v>4</v>
      </c>
      <c r="G30" s="77" t="s">
        <v>23</v>
      </c>
      <c r="H30" s="36">
        <v>6154</v>
      </c>
      <c r="I30" s="86">
        <v>15</v>
      </c>
      <c r="J30" s="36">
        <f t="shared" si="7"/>
        <v>20923.6</v>
      </c>
      <c r="K30" s="28"/>
      <c r="L30" s="29"/>
      <c r="M30" s="29"/>
      <c r="N30" s="87">
        <f>4</f>
        <v>4</v>
      </c>
      <c r="O30" s="29"/>
      <c r="P30" s="30"/>
      <c r="Q30" s="31"/>
      <c r="R30" s="33"/>
    </row>
    <row r="31" spans="2:18" ht="15">
      <c r="B31" s="37">
        <v>21</v>
      </c>
      <c r="C31" s="90" t="s">
        <v>592</v>
      </c>
      <c r="D31" s="91"/>
      <c r="E31" s="92"/>
      <c r="F31" s="88">
        <f t="shared" si="1"/>
        <v>30</v>
      </c>
      <c r="G31" s="77" t="s">
        <v>23</v>
      </c>
      <c r="H31" s="36">
        <v>1598</v>
      </c>
      <c r="I31" s="86">
        <v>15</v>
      </c>
      <c r="J31" s="36">
        <f t="shared" si="7"/>
        <v>40749</v>
      </c>
      <c r="K31" s="28"/>
      <c r="L31" s="29"/>
      <c r="M31" s="29"/>
      <c r="N31" s="87">
        <f>10+10+6+4</f>
        <v>30</v>
      </c>
      <c r="O31" s="29"/>
      <c r="P31" s="30"/>
      <c r="Q31" s="31"/>
      <c r="R31" s="33"/>
    </row>
    <row r="32" spans="2:18" ht="15">
      <c r="B32" s="37">
        <v>22</v>
      </c>
      <c r="C32" s="90" t="s">
        <v>603</v>
      </c>
      <c r="D32" s="91"/>
      <c r="E32" s="92"/>
      <c r="F32" s="88">
        <f t="shared" si="1"/>
        <v>54</v>
      </c>
      <c r="G32" s="77" t="s">
        <v>23</v>
      </c>
      <c r="H32" s="36">
        <v>2856</v>
      </c>
      <c r="I32" s="86">
        <v>15</v>
      </c>
      <c r="J32" s="36">
        <f t="shared" si="7"/>
        <v>131090.4</v>
      </c>
      <c r="K32" s="28"/>
      <c r="L32" s="29"/>
      <c r="M32" s="29"/>
      <c r="N32" s="87">
        <f>5+12+20+10+7</f>
        <v>54</v>
      </c>
      <c r="O32" s="29"/>
      <c r="P32" s="30"/>
      <c r="Q32" s="31"/>
      <c r="R32" s="33"/>
    </row>
    <row r="33" spans="2:18" ht="15">
      <c r="B33" s="37">
        <v>23</v>
      </c>
      <c r="C33" s="90" t="s">
        <v>604</v>
      </c>
      <c r="D33" s="91"/>
      <c r="E33" s="92"/>
      <c r="F33" s="88">
        <f t="shared" si="1"/>
        <v>26</v>
      </c>
      <c r="G33" s="77" t="s">
        <v>23</v>
      </c>
      <c r="H33" s="36">
        <v>1598</v>
      </c>
      <c r="I33" s="86">
        <v>15</v>
      </c>
      <c r="J33" s="36">
        <f t="shared" si="7"/>
        <v>35315.799999999996</v>
      </c>
      <c r="K33" s="28"/>
      <c r="L33" s="29"/>
      <c r="M33" s="29"/>
      <c r="N33" s="87">
        <f>6+20</f>
        <v>26</v>
      </c>
      <c r="O33" s="29"/>
      <c r="P33" s="30"/>
      <c r="Q33" s="31"/>
      <c r="R33" s="33"/>
    </row>
    <row r="34" spans="2:18" ht="15">
      <c r="B34" s="37">
        <v>24</v>
      </c>
      <c r="C34" s="90" t="s">
        <v>605</v>
      </c>
      <c r="D34" s="91"/>
      <c r="E34" s="92"/>
      <c r="F34" s="88">
        <f t="shared" si="1"/>
        <v>4</v>
      </c>
      <c r="G34" s="77" t="s">
        <v>23</v>
      </c>
      <c r="H34" s="36">
        <v>2380</v>
      </c>
      <c r="I34" s="86">
        <v>15</v>
      </c>
      <c r="J34" s="36">
        <f t="shared" si="7"/>
        <v>8092</v>
      </c>
      <c r="K34" s="28"/>
      <c r="L34" s="29"/>
      <c r="M34" s="29"/>
      <c r="N34" s="87">
        <f>4</f>
        <v>4</v>
      </c>
      <c r="O34" s="29"/>
      <c r="P34" s="30"/>
      <c r="Q34" s="31"/>
      <c r="R34" s="33"/>
    </row>
    <row r="35" spans="2:18" ht="15">
      <c r="B35" s="37">
        <v>25</v>
      </c>
      <c r="C35" s="90" t="s">
        <v>611</v>
      </c>
      <c r="D35" s="91"/>
      <c r="E35" s="92"/>
      <c r="F35" s="88">
        <f t="shared" si="1"/>
        <v>20</v>
      </c>
      <c r="G35" s="77" t="s">
        <v>23</v>
      </c>
      <c r="H35" s="36">
        <v>889</v>
      </c>
      <c r="I35" s="86">
        <v>15</v>
      </c>
      <c r="J35" s="36">
        <f t="shared" si="7"/>
        <v>15113</v>
      </c>
      <c r="K35" s="28"/>
      <c r="L35" s="29"/>
      <c r="M35" s="29"/>
      <c r="N35" s="87">
        <f>20</f>
        <v>20</v>
      </c>
      <c r="O35" s="29"/>
      <c r="P35" s="30"/>
      <c r="Q35" s="31"/>
      <c r="R35" s="33"/>
    </row>
    <row r="36" spans="2:18" ht="15">
      <c r="B36" s="37">
        <v>26</v>
      </c>
      <c r="C36" s="90" t="s">
        <v>593</v>
      </c>
      <c r="D36" s="91"/>
      <c r="E36" s="92"/>
      <c r="F36" s="88">
        <v>13</v>
      </c>
      <c r="G36" s="77" t="s">
        <v>23</v>
      </c>
      <c r="H36" s="36">
        <v>1513</v>
      </c>
      <c r="I36" s="86">
        <v>15</v>
      </c>
      <c r="J36" s="36">
        <f t="shared" si="7"/>
        <v>16718.649999999998</v>
      </c>
      <c r="K36" s="28"/>
      <c r="L36" s="29"/>
      <c r="M36" s="29"/>
      <c r="N36" s="87"/>
      <c r="O36" s="29"/>
      <c r="P36" s="30"/>
      <c r="Q36" s="31"/>
      <c r="R36" s="33"/>
    </row>
    <row r="37" spans="2:18" ht="15">
      <c r="B37" s="37">
        <v>27</v>
      </c>
      <c r="C37" s="90" t="s">
        <v>612</v>
      </c>
      <c r="D37" s="91"/>
      <c r="E37" s="92"/>
      <c r="F37" s="88">
        <v>4</v>
      </c>
      <c r="G37" s="77" t="s">
        <v>23</v>
      </c>
      <c r="H37" s="36">
        <v>5491</v>
      </c>
      <c r="I37" s="86">
        <v>15</v>
      </c>
      <c r="J37" s="36">
        <f aca="true" t="shared" si="8" ref="J37:J46">F37*H37*(1-I37/100)</f>
        <v>18669.399999999998</v>
      </c>
      <c r="K37" s="28"/>
      <c r="L37" s="29"/>
      <c r="M37" s="29"/>
      <c r="N37" s="87"/>
      <c r="O37" s="29"/>
      <c r="P37" s="30"/>
      <c r="Q37" s="31"/>
      <c r="R37" s="33"/>
    </row>
    <row r="38" spans="2:18" ht="15">
      <c r="B38" s="37">
        <v>28</v>
      </c>
      <c r="C38" s="90" t="s">
        <v>613</v>
      </c>
      <c r="D38" s="91"/>
      <c r="E38" s="92"/>
      <c r="F38" s="88">
        <v>4</v>
      </c>
      <c r="G38" s="77" t="s">
        <v>23</v>
      </c>
      <c r="H38" s="36">
        <v>7480</v>
      </c>
      <c r="I38" s="86">
        <v>15</v>
      </c>
      <c r="J38" s="36">
        <f t="shared" si="8"/>
        <v>25432</v>
      </c>
      <c r="K38" s="28"/>
      <c r="L38" s="29"/>
      <c r="M38" s="29"/>
      <c r="N38" s="87"/>
      <c r="O38" s="29"/>
      <c r="P38" s="30"/>
      <c r="Q38" s="31"/>
      <c r="R38" s="33"/>
    </row>
    <row r="39" spans="2:18" ht="15">
      <c r="B39" s="37">
        <v>29</v>
      </c>
      <c r="C39" s="90" t="s">
        <v>614</v>
      </c>
      <c r="D39" s="91"/>
      <c r="E39" s="92"/>
      <c r="F39" s="88">
        <v>4</v>
      </c>
      <c r="G39" s="77" t="s">
        <v>23</v>
      </c>
      <c r="H39" s="36">
        <v>8721</v>
      </c>
      <c r="I39" s="86">
        <v>15</v>
      </c>
      <c r="J39" s="36">
        <f t="shared" si="8"/>
        <v>29651.399999999998</v>
      </c>
      <c r="K39" s="28"/>
      <c r="L39" s="29"/>
      <c r="M39" s="29"/>
      <c r="N39" s="87"/>
      <c r="O39" s="29"/>
      <c r="P39" s="30"/>
      <c r="Q39" s="31"/>
      <c r="R39" s="33"/>
    </row>
    <row r="40" spans="2:18" ht="15">
      <c r="B40" s="37">
        <v>30</v>
      </c>
      <c r="C40" s="90" t="s">
        <v>615</v>
      </c>
      <c r="D40" s="91"/>
      <c r="E40" s="92"/>
      <c r="F40" s="88">
        <v>2</v>
      </c>
      <c r="G40" s="77" t="s">
        <v>23</v>
      </c>
      <c r="H40" s="36">
        <v>10744</v>
      </c>
      <c r="I40" s="86">
        <v>15</v>
      </c>
      <c r="J40" s="36">
        <f t="shared" si="8"/>
        <v>18264.8</v>
      </c>
      <c r="K40" s="28"/>
      <c r="L40" s="29"/>
      <c r="M40" s="29"/>
      <c r="N40" s="87"/>
      <c r="O40" s="29"/>
      <c r="P40" s="30"/>
      <c r="Q40" s="31"/>
      <c r="R40" s="33"/>
    </row>
    <row r="41" spans="2:18" ht="15">
      <c r="B41" s="37">
        <v>31</v>
      </c>
      <c r="C41" s="90" t="s">
        <v>616</v>
      </c>
      <c r="D41" s="91"/>
      <c r="E41" s="92"/>
      <c r="F41" s="88">
        <v>8</v>
      </c>
      <c r="G41" s="77" t="s">
        <v>23</v>
      </c>
      <c r="H41" s="36">
        <v>6035</v>
      </c>
      <c r="I41" s="86">
        <v>15</v>
      </c>
      <c r="J41" s="36">
        <f t="shared" si="8"/>
        <v>41038</v>
      </c>
      <c r="K41" s="28"/>
      <c r="L41" s="29"/>
      <c r="M41" s="29"/>
      <c r="N41" s="87"/>
      <c r="O41" s="29"/>
      <c r="P41" s="30"/>
      <c r="Q41" s="31"/>
      <c r="R41" s="33"/>
    </row>
    <row r="42" spans="2:18" ht="15">
      <c r="B42" s="37">
        <v>32</v>
      </c>
      <c r="C42" s="90" t="s">
        <v>617</v>
      </c>
      <c r="D42" s="91"/>
      <c r="E42" s="92"/>
      <c r="F42" s="88">
        <v>4</v>
      </c>
      <c r="G42" s="77" t="s">
        <v>23</v>
      </c>
      <c r="H42" s="36">
        <v>7905</v>
      </c>
      <c r="I42" s="86">
        <v>15</v>
      </c>
      <c r="J42" s="36">
        <f t="shared" si="8"/>
        <v>26877</v>
      </c>
      <c r="K42" s="28"/>
      <c r="L42" s="29"/>
      <c r="M42" s="29"/>
      <c r="N42" s="87"/>
      <c r="O42" s="29"/>
      <c r="P42" s="30"/>
      <c r="Q42" s="31"/>
      <c r="R42" s="33"/>
    </row>
    <row r="43" spans="2:18" ht="15">
      <c r="B43" s="37">
        <v>33</v>
      </c>
      <c r="C43" s="90" t="s">
        <v>618</v>
      </c>
      <c r="D43" s="91"/>
      <c r="E43" s="92"/>
      <c r="F43" s="88">
        <v>4</v>
      </c>
      <c r="G43" s="77" t="s">
        <v>23</v>
      </c>
      <c r="H43" s="36">
        <v>11212</v>
      </c>
      <c r="I43" s="86">
        <v>15</v>
      </c>
      <c r="J43" s="36">
        <f t="shared" si="8"/>
        <v>38120.799999999996</v>
      </c>
      <c r="K43" s="28"/>
      <c r="L43" s="29"/>
      <c r="M43" s="29"/>
      <c r="N43" s="87"/>
      <c r="O43" s="29"/>
      <c r="P43" s="30"/>
      <c r="Q43" s="31"/>
      <c r="R43" s="33"/>
    </row>
    <row r="44" spans="2:18" ht="15">
      <c r="B44" s="37">
        <v>34</v>
      </c>
      <c r="C44" s="90" t="s">
        <v>619</v>
      </c>
      <c r="D44" s="91"/>
      <c r="E44" s="92"/>
      <c r="F44" s="88">
        <v>2</v>
      </c>
      <c r="G44" s="77" t="s">
        <v>23</v>
      </c>
      <c r="H44" s="36">
        <v>6630</v>
      </c>
      <c r="I44" s="86">
        <v>15</v>
      </c>
      <c r="J44" s="36">
        <f t="shared" si="8"/>
        <v>11271</v>
      </c>
      <c r="K44" s="28"/>
      <c r="L44" s="29"/>
      <c r="M44" s="29"/>
      <c r="N44" s="87"/>
      <c r="O44" s="29"/>
      <c r="P44" s="30"/>
      <c r="Q44" s="31"/>
      <c r="R44" s="33"/>
    </row>
    <row r="45" spans="2:18" ht="15">
      <c r="B45" s="37">
        <v>35</v>
      </c>
      <c r="C45" s="90" t="s">
        <v>620</v>
      </c>
      <c r="D45" s="91"/>
      <c r="E45" s="92"/>
      <c r="F45" s="88">
        <v>2</v>
      </c>
      <c r="G45" s="77" t="s">
        <v>23</v>
      </c>
      <c r="H45" s="36">
        <v>13243</v>
      </c>
      <c r="I45" s="86">
        <v>15</v>
      </c>
      <c r="J45" s="36">
        <f t="shared" si="8"/>
        <v>22513.1</v>
      </c>
      <c r="K45" s="28"/>
      <c r="L45" s="29"/>
      <c r="M45" s="29"/>
      <c r="N45" s="87"/>
      <c r="O45" s="29"/>
      <c r="P45" s="30"/>
      <c r="Q45" s="31"/>
      <c r="R45" s="33"/>
    </row>
    <row r="46" spans="2:18" ht="15.75" thickBot="1">
      <c r="B46" s="37">
        <v>36</v>
      </c>
      <c r="C46" s="90" t="s">
        <v>621</v>
      </c>
      <c r="D46" s="91"/>
      <c r="E46" s="92"/>
      <c r="F46" s="88">
        <v>2</v>
      </c>
      <c r="G46" s="77" t="s">
        <v>23</v>
      </c>
      <c r="H46" s="36">
        <v>6069</v>
      </c>
      <c r="I46" s="86">
        <v>15</v>
      </c>
      <c r="J46" s="36">
        <f t="shared" si="8"/>
        <v>10317.3</v>
      </c>
      <c r="K46" s="28"/>
      <c r="L46" s="29"/>
      <c r="M46" s="29"/>
      <c r="N46" s="87"/>
      <c r="O46" s="29"/>
      <c r="P46" s="30"/>
      <c r="Q46" s="31"/>
      <c r="R46" s="33"/>
    </row>
    <row r="47" spans="2:10" ht="15">
      <c r="B47" s="64" t="s">
        <v>17</v>
      </c>
      <c r="C47" s="93"/>
      <c r="D47" s="39"/>
      <c r="E47" s="39"/>
      <c r="F47" s="65"/>
      <c r="G47" s="66" t="s">
        <v>3</v>
      </c>
      <c r="H47" s="67"/>
      <c r="I47" s="68"/>
      <c r="J47" s="94">
        <f>SUM(J11:J46)</f>
        <v>1533154.1899999997</v>
      </c>
    </row>
    <row r="48" spans="2:10" ht="15">
      <c r="B48" s="69"/>
      <c r="C48" s="70"/>
      <c r="D48" s="71"/>
      <c r="E48" s="45"/>
      <c r="F48" s="72"/>
      <c r="G48" s="73" t="s">
        <v>13</v>
      </c>
      <c r="H48" s="74"/>
      <c r="I48" s="75"/>
      <c r="J48" s="76">
        <f>J47*I48</f>
        <v>0</v>
      </c>
    </row>
    <row r="49" spans="2:10" ht="15">
      <c r="B49" s="44"/>
      <c r="C49" s="45"/>
      <c r="D49" s="45"/>
      <c r="E49" s="45"/>
      <c r="F49" s="77"/>
      <c r="G49" s="78" t="s">
        <v>4</v>
      </c>
      <c r="H49" s="70"/>
      <c r="I49" s="79"/>
      <c r="J49" s="76">
        <f>J47-J48</f>
        <v>1533154.1899999997</v>
      </c>
    </row>
    <row r="50" spans="2:10" ht="15">
      <c r="B50" s="44"/>
      <c r="C50" s="45"/>
      <c r="D50" s="45"/>
      <c r="E50" s="45"/>
      <c r="F50" s="72"/>
      <c r="G50" s="73">
        <v>0.19</v>
      </c>
      <c r="H50" s="74"/>
      <c r="I50" s="75">
        <v>0.19</v>
      </c>
      <c r="J50" s="76">
        <f>J49*I50</f>
        <v>291299.2960999999</v>
      </c>
    </row>
    <row r="51" spans="2:10" ht="15.75" thickBot="1">
      <c r="B51" s="52"/>
      <c r="C51" s="53"/>
      <c r="D51" s="53"/>
      <c r="E51" s="53"/>
      <c r="F51" s="80"/>
      <c r="G51" s="81" t="s">
        <v>2</v>
      </c>
      <c r="H51" s="82"/>
      <c r="I51" s="83"/>
      <c r="J51" s="84">
        <f>J49+J50</f>
        <v>1824453.4860999996</v>
      </c>
    </row>
  </sheetData>
  <sheetProtection formatCells="0"/>
  <mergeCells count="9">
    <mergeCell ref="C12:E12"/>
    <mergeCell ref="C13:E13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4" r:id="rId3"/>
  <ignoredErrors>
    <ignoredError sqref="J49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4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4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4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4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4" t="s">
        <v>78</v>
      </c>
      <c r="C8" t="s">
        <v>79</v>
      </c>
      <c r="G8" t="s">
        <v>33</v>
      </c>
    </row>
    <row r="9" spans="1:12" ht="15">
      <c r="A9">
        <v>8</v>
      </c>
      <c r="B9" s="34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4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4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4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4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4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4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4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4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4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4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4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4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4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4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4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4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4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4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4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4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4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4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4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4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4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4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4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4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4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4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4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4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4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4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4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4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4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4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4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4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4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4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4" t="s">
        <v>288</v>
      </c>
      <c r="C52" t="s">
        <v>289</v>
      </c>
      <c r="G52" t="s">
        <v>33</v>
      </c>
    </row>
    <row r="53" spans="1:12" ht="15">
      <c r="A53">
        <v>52</v>
      </c>
      <c r="B53" s="34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4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4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4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4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4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4" t="s">
        <v>324</v>
      </c>
      <c r="C59" t="s">
        <v>325</v>
      </c>
      <c r="G59" t="s">
        <v>33</v>
      </c>
    </row>
    <row r="60" spans="1:12" ht="15">
      <c r="A60">
        <v>59</v>
      </c>
      <c r="B60" s="34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4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4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4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4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4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4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4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4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4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4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4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4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4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4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4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4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4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4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4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4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4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4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4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4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4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4" t="s">
        <v>446</v>
      </c>
      <c r="C86" t="s">
        <v>447</v>
      </c>
      <c r="G86" t="s">
        <v>33</v>
      </c>
    </row>
    <row r="87" spans="1:7" ht="15">
      <c r="A87">
        <v>86</v>
      </c>
      <c r="B87" s="34" t="s">
        <v>448</v>
      </c>
      <c r="C87" t="s">
        <v>449</v>
      </c>
      <c r="G87" t="s">
        <v>33</v>
      </c>
    </row>
    <row r="88" spans="1:13" ht="15">
      <c r="A88">
        <v>87</v>
      </c>
      <c r="B88" s="34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4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4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4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4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4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4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4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4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4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4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4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4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4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4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4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4" t="s">
        <v>530</v>
      </c>
      <c r="C104" t="s">
        <v>531</v>
      </c>
      <c r="G104" t="s">
        <v>33</v>
      </c>
    </row>
    <row r="105" spans="1:13" ht="15">
      <c r="A105">
        <v>104</v>
      </c>
      <c r="B105" s="34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4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4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2014-05-19T16:20:09Z</cp:lastPrinted>
  <dcterms:created xsi:type="dcterms:W3CDTF">2013-07-12T05:01:37Z</dcterms:created>
  <dcterms:modified xsi:type="dcterms:W3CDTF">2014-05-19T19:57:01Z</dcterms:modified>
  <cp:category/>
  <cp:version/>
  <cp:contentType/>
  <cp:contentStatus/>
</cp:coreProperties>
</file>