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<sst xmlns="http://schemas.openxmlformats.org/spreadsheetml/2006/main" count="855" uniqueCount="619">
  <si>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</si>
  <si>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</si>
  <si>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</si>
  <si>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</si>
  <si>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</si>
  <si>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</si>
  <si>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</si>
  <si>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</si>
  <si>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</si>
  <si>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</si>
  <si>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</si>
  <si>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</si>
  <si>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</si>
  <si>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</si>
  <si>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</si>
  <si>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</si>
  <si>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</si>
  <si>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</si>
  <si>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</si>
  <si>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</si>
  <si>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</si>
  <si>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</si>
  <si>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</si>
  <si>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</si>
  <si>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</si>
  <si>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</si>
  <si>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</si>
  <si>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</si>
  <si>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</si>
  <si>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</si>
  <si>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</si>
  <si>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</si>
  <si>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</si>
  <si>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</si>
  <si>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</si>
  <si>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</si>
  <si>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</si>
  <si>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</si>
  <si>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</si>
  <si>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</si>
  <si>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</si>
  <si>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</si>
  <si>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</si>
  <si>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</si>
  <si>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</si>
  <si>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</si>
  <si>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</si>
  <si>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</si>
  <si>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</si>
  <si>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</si>
  <si>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</si>
  <si>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</si>
  <si>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</si>
  <si>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</si>
  <si>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</si>
  <si>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</si>
  <si>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</si>
  <si>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</si>
  <si>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</si>
  <si>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</si>
  <si>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</si>
  <si>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</si>
  <si>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</si>
  <si>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</si>
  <si>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</si>
  <si>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</si>
  <si>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</si>
  <si>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</si>
  <si>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</si>
  <si>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</si>
  <si>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</si>
  <si>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</si>
  <si>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</si>
  <si>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</si>
  <si>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</si>
  <si>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</si>
  <si>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</si>
  <si>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</si>
  <si>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</si>
  <si>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</si>
  <si>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</si>
  <si>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</si>
  <si>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</si>
  <si>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</si>
  <si>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</si>
  <si>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</si>
  <si>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</si>
  <si>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</si>
  <si>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</si>
  <si>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</si>
  <si>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</si>
  <si>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</si>
  <si>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</si>
  <si>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</si>
  <si>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</si>
  <si>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</si>
  <si>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</si>
  <si>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</si>
  <si>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</si>
  <si>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</si>
  <si>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</si>
  <si>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</si>
  <si>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</si>
  <si>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</si>
  <si>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</si>
  <si>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</si>
  <si>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</si>
  <si>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</si>
  <si>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</si>
  <si>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</si>
  <si>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</si>
  <si>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</si>
  <si>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</si>
  <si>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</si>
  <si>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</si>
  <si>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</si>
  <si>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</si>
  <si>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</si>
  <si>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</si>
  <si>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</si>
  <si>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</si>
  <si>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</si>
  <si>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</si>
  <si>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</si>
  <si>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</si>
  <si>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</si>
  <si>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</si>
  <si>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</si>
  <si>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</si>
  <si>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</si>
  <si>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</si>
  <si>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</si>
  <si>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</si>
  <si>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</si>
  <si>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</si>
  <si>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</si>
  <si>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</si>
  <si>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</si>
  <si>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</si>
  <si>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</si>
  <si>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</si>
  <si>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</si>
  <si>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</si>
  <si>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</si>
  <si>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</si>
  <si>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</si>
  <si>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</si>
  <si>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</si>
  <si>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</si>
  <si>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</si>
  <si>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</si>
  <si>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</si>
  <si>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</si>
  <si>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</si>
  <si>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</si>
  <si>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</si>
  <si>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</si>
  <si>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</si>
  <si>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</si>
  <si>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</si>
  <si>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</si>
  <si>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</si>
  <si>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</si>
  <si>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</si>
  <si>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</si>
  <si>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</si>
  <si>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</si>
  <si>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</si>
  <si>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</si>
  <si>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</si>
  <si>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</si>
  <si>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</si>
  <si>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</si>
  <si>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</si>
  <si>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</si>
  <si>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</si>
  <si>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</si>
  <si>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</si>
  <si>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</si>
  <si>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</si>
  <si>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</si>
  <si>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</si>
  <si>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</si>
  <si>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</si>
  <si>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</si>
  <si>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</si>
  <si>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</si>
  <si>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</si>
  <si>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</si>
  <si>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</si>
  <si>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</si>
  <si>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</si>
  <si>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</si>
  <si>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</si>
  <si>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</si>
  <si>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</si>
  <si>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</si>
  <si>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</si>
  <si>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</si>
  <si>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</si>
  <si>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</si>
  <si>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</si>
  <si>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</si>
  <si>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</si>
  <si>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</si>
  <si>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</si>
  <si>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</si>
  <si>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</si>
  <si>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</si>
  <si>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</si>
  <si>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</si>
  <si>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</si>
  <si>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</si>
  <si>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</si>
  <si>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</si>
  <si>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</si>
  <si>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</si>
  <si>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</si>
  <si>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</si>
  <si>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</si>
  <si>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</si>
  <si>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</si>
  <si>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</si>
  <si>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</si>
  <si>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</si>
  <si>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</si>
  <si>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</si>
  <si>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</si>
  <si>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</si>
  <si>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</si>
  <si>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</si>
  <si>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</si>
  <si>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</si>
  <si>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</si>
  <si>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</si>
  <si>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</si>
  <si>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</si>
  <si>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</si>
  <si>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</si>
  <si>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</si>
  <si>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</si>
  <si>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</si>
  <si>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</si>
  <si>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</si>
  <si>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</si>
  <si>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</si>
  <si>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</si>
  <si>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</si>
  <si>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</si>
  <si>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</si>
  <si>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</si>
  <si>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</si>
  <si>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</si>
  <si>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</si>
  <si>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</si>
  <si>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</si>
  <si>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</si>
  <si>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</si>
  <si>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</si>
  <si>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</si>
  <si>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</si>
  <si>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</si>
  <si>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</si>
  <si>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</si>
  <si>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</si>
  <si>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</si>
  <si>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</si>
  <si>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</si>
  <si>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</si>
  <si>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</si>
  <si>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</si>
  <si>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</si>
  <si>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</si>
  <si>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</si>
  <si>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</si>
  <si>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</si>
  <si>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</si>
  <si>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</si>
  <si>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</si>
  <si>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</si>
  <si>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</si>
  <si>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</si>
  <si>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</si>
  <si>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</si>
  <si>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</si>
  <si>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</si>
  <si>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</si>
  <si>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</si>
  <si>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</si>
  <si>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</si>
  <si>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</si>
  <si>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</si>
  <si>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</si>
  <si>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</si>
  <si>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</si>
  <si>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</si>
  <si>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</si>
  <si>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</si>
  <si>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</si>
  <si>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</si>
  <si>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</si>
  <si>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</si>
  <si>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</si>
  <si>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</si>
  <si>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</si>
  <si>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</si>
  <si>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</si>
  <si>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</si>
  <si>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</si>
  <si>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</si>
  <si>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</si>
  <si>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</si>
  <si>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</si>
  <si>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</si>
  <si>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</si>
  <si>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</si>
  <si>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</si>
  <si>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</si>
  <si>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</si>
  <si>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</si>
  <si>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</si>
  <si>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</si>
  <si>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</si>
  <si>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</si>
  <si>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</si>
  <si>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</si>
  <si>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</si>
  <si>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</si>
  <si>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</si>
  <si>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</si>
  <si>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</si>
  <si>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</si>
  <si>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</si>
  <si>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</si>
  <si>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</si>
  <si>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</si>
  <si>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</si>
  <si>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</si>
  <si>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</si>
  <si>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</si>
  <si>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</si>
  <si>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</si>
  <si>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</si>
  <si>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</si>
  <si>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</si>
  <si>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</si>
  <si>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</si>
  <si>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</si>
  <si>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</si>
  <si>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</si>
  <si>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</si>
  <si>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</si>
  <si>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</si>
  <si>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</si>
  <si>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</si>
  <si>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</si>
  <si>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</si>
  <si>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</si>
  <si>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</si>
  <si>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</si>
  <si>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</si>
  <si>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</si>
  <si>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</si>
  <si>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</si>
  <si>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</si>
  <si>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</si>
  <si>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</si>
  <si>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</si>
  <si>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</si>
  <si>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</si>
  <si>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</si>
  <si>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</si>
  <si>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</si>
  <si>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</si>
  <si>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</si>
  <si>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</si>
  <si>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</si>
  <si>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</si>
  <si>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</si>
  <si>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</si>
  <si>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</si>
  <si>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</si>
  <si>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</si>
  <si>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</si>
  <si>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</si>
  <si>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</si>
  <si>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</si>
  <si>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</si>
  <si>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</si>
  <si>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</si>
  <si>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</si>
  <si>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</si>
  <si>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</si>
  <si>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</si>
  <si>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</si>
  <si>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</si>
  <si>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</si>
  <si>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</si>
  <si>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</si>
  <si>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</si>
  <si>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</si>
  <si>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</si>
  <si>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</si>
  <si>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</si>
  <si>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</si>
  <si>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</si>
  <si>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</si>
  <si>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</si>
  <si>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</si>
  <si>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</si>
  <si>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</si>
  <si>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</si>
  <si>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</si>
  <si>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</si>
  <si>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</si>
  <si>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</si>
  <si>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</si>
  <si>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</si>
  <si>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</si>
  <si>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</si>
  <si>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</si>
  <si>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</si>
  <si>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</si>
  <si>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</si>
  <si>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</si>
  <si>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</si>
  <si>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</si>
  <si>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</si>
  <si>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</si>
  <si>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</si>
  <si>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</si>
  <si>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</si>
  <si>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</si>
  <si>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</si>
  <si>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</si>
  <si>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</si>
  <si>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</si>
  <si>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</si>
  <si>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</si>
  <si>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</si>
  <si>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</si>
  <si>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</si>
  <si>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</si>
  <si>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</si>
  <si>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</si>
  <si>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</si>
  <si>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</si>
  <si>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</si>
  <si>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</si>
  <si>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</si>
  <si>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</si>
  <si>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</si>
  <si>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</si>
  <si>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</si>
  <si>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</si>
  <si>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</si>
  <si>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</si>
  <si>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</si>
  <si>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</si>
  <si>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</si>
  <si>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</si>
  <si>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</si>
  <si>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</si>
  <si>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</si>
  <si>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</si>
  <si>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</si>
  <si>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</si>
  <si>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</si>
  <si>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</si>
  <si>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</si>
  <si>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</si>
  <si>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</si>
  <si>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</si>
  <si>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</si>
  <si>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</si>
  <si>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</si>
  <si>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</si>
  <si>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</si>
  <si>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</si>
  <si>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</si>
  <si>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</si>
  <si>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</si>
  <si>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</si>
  <si>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</si>
  <si>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</si>
  <si>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</si>
  <si>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</si>
  <si>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</si>
  <si>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</si>
  <si>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</si>
  <si>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</si>
  <si>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</si>
  <si>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</si>
  <si>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</si>
  <si>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</si>
  <si>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</si>
  <si>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</si>
  <si>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</si>
  <si>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</si>
  <si>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</si>
  <si>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</si>
  <si>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</si>
  <si>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</si>
  <si>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</si>
  <si>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</si>
  <si>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</si>
  <si>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</si>
  <si>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</si>
  <si>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</si>
  <si>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</si>
  <si>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</si>
  <si>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</si>
  <si>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</si>
  <si>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</si>
  <si>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</si>
  <si>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</si>
  <si>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</si>
  <si>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</si>
  <si>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</si>
  <si>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</si>
  <si>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</si>
  <si>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</si>
  <si>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</si>
  <si>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</si>
  <si>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</si>
  <si>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</si>
  <si>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</si>
  <si>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</si>
  <si>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</si>
  <si>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</si>
  <si>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</si>
  <si>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</si>
  <si>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</si>
  <si>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</si>
  <si>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</si>
  <si>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</si>
  <si>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</si>
  <si>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</si>
  <si>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</si>
  <si>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</si>
  <si>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</si>
  <si>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</si>
  <si>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</si>
  <si>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</si>
  <si>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</si>
  <si>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</si>
  <si>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</si>
  <si>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</si>
  <si>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</si>
  <si>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</si>
  <si>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</si>
  <si>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</si>
  <si>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</si>
  <si>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</si>
  <si>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</si>
  <si>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</si>
  <si>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</si>
  <si>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</si>
  <si>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</si>
  <si>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</si>
  <si>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</si>
  <si>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</si>
  <si>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</si>
  <si>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</si>
  <si>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</si>
  <si>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</si>
  <si>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</si>
  <si>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</si>
  <si>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</si>
  <si>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</si>
  <si>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</si>
  <si>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</si>
  <si>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</si>
  <si>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</si>
  <si>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</si>
  <si>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</si>
  <si>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</si>
  <si>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</si>
  <si>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</si>
  <si>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</si>
  <si>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nuevo fima</t>
  </si>
  <si>
    <t>99.595.100-2</t>
  </si>
  <si>
    <t>Av. Eduardo Frei Montalva 5325</t>
  </si>
  <si>
    <t>Conchali</t>
  </si>
  <si>
    <t>stgo</t>
  </si>
  <si>
    <t>SERVICIOS LUCAS DIESEL S.A.</t>
  </si>
  <si>
    <t>costo</t>
  </si>
  <si>
    <t>venta</t>
  </si>
  <si>
    <t>Rodrigo Rojas</t>
  </si>
  <si>
    <t xml:space="preserve"> 1551X6-A  /Adaptador bronce 3/8 x 1/4 npt</t>
  </si>
  <si>
    <t xml:space="preserve"> 121-B-04 / Tapon  Bronce 1/4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</si>
  <si>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</si>
  <si>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</si>
  <si>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</si>
  <si>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</si>
  <si>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</si>
  <si>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</si>
  <si>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</si>
  <si>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</si>
  <si>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</si>
  <si>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</si>
  <si>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</si>
  <si>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</si>
  <si>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</si>
  <si>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</si>
  <si>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</si>
  <si>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</si>
  <si>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</si>
  <si>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</si>
  <si>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</si>
  <si>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</si>
  <si>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</si>
  <si>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</si>
  <si>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</si>
  <si>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</si>
  <si>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</si>
  <si>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</si>
  <si>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</si>
  <si>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1551X6-7/ Union manguera epecial bronce 3/8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</si>
</sst>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1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4" xfId="0" applyFont="1" applyFill="1" applyBorder="1" applyAlignment="1" applyProtection="1">
      <alignment horizontal="right"/>
      <protection locked="0"/>
    </xf>
    <xf numFmtId="1" fontId="53" fillId="33" borderId="35" xfId="0" applyNumberFormat="1" applyFont="1" applyFill="1" applyBorder="1" applyAlignment="1" applyProtection="1">
      <alignment horizontal="center"/>
      <protection/>
    </xf>
    <xf numFmtId="173" fontId="57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53" fillId="33" borderId="36" xfId="0" applyNumberFormat="1" applyFont="1" applyFill="1" applyBorder="1" applyAlignment="1" applyProtection="1">
      <alignment horizontal="center"/>
      <protection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8" fillId="33" borderId="12" xfId="0" applyNumberFormat="1" applyFont="1" applyFill="1" applyBorder="1" applyAlignment="1" applyProtection="1">
      <alignment horizontal="left"/>
      <protection/>
    </xf>
    <xf numFmtId="0" fontId="55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174" fontId="14" fillId="0" borderId="0" xfId="0" applyNumberFormat="1" applyFont="1" applyFill="1" applyBorder="1" applyAlignment="1" applyProtection="1">
      <alignment/>
      <protection/>
    </xf>
    <xf numFmtId="0" fontId="14" fillId="33" borderId="15" xfId="45" applyFont="1" applyFill="1" applyBorder="1" applyAlignment="1" applyProtection="1">
      <alignment horizontal="left"/>
      <protection/>
    </xf>
    <xf numFmtId="174" fontId="14" fillId="33" borderId="15" xfId="0" applyNumberFormat="1" applyFont="1" applyFill="1" applyBorder="1" applyAlignment="1" applyProtection="1">
      <alignment horizontal="left"/>
      <protection/>
    </xf>
    <xf numFmtId="172" fontId="14" fillId="33" borderId="15" xfId="0" applyNumberFormat="1" applyFont="1" applyFill="1" applyBorder="1" applyAlignment="1" applyProtection="1">
      <alignment horizontal="left" vertical="center"/>
      <protection/>
    </xf>
    <xf numFmtId="0" fontId="15" fillId="33" borderId="25" xfId="0" applyFont="1" applyFill="1" applyBorder="1" applyAlignment="1" applyProtection="1">
      <alignment/>
      <protection locked="0"/>
    </xf>
    <xf numFmtId="0" fontId="15" fillId="33" borderId="24" xfId="0" applyFont="1" applyFill="1" applyBorder="1" applyAlignment="1" applyProtection="1">
      <alignment/>
      <protection locked="0"/>
    </xf>
    <xf numFmtId="0" fontId="14" fillId="33" borderId="24" xfId="0" applyFont="1" applyFill="1" applyBorder="1" applyAlignment="1" applyProtection="1">
      <alignment/>
      <protection locked="0"/>
    </xf>
    <xf numFmtId="172" fontId="14" fillId="33" borderId="27" xfId="0" applyNumberFormat="1" applyFont="1" applyFill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33" borderId="10" xfId="0" applyNumberFormat="1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15" fillId="33" borderId="37" xfId="0" applyFont="1" applyFill="1" applyBorder="1" applyAlignment="1" applyProtection="1">
      <alignment/>
      <protection locked="0"/>
    </xf>
    <xf numFmtId="174" fontId="15" fillId="33" borderId="37" xfId="0" applyNumberFormat="1" applyFont="1" applyFill="1" applyBorder="1" applyAlignment="1" applyProtection="1">
      <alignment horizontal="center"/>
      <protection/>
    </xf>
    <xf numFmtId="174" fontId="15" fillId="33" borderId="37" xfId="0" applyNumberFormat="1" applyFont="1" applyFill="1" applyBorder="1" applyAlignment="1" applyProtection="1">
      <alignment horizontal="center"/>
      <protection locked="0"/>
    </xf>
    <xf numFmtId="174" fontId="15" fillId="33" borderId="12" xfId="0" applyNumberFormat="1" applyFont="1" applyFill="1" applyBorder="1" applyAlignment="1" applyProtection="1">
      <alignment horizontal="center"/>
      <protection/>
    </xf>
    <xf numFmtId="0" fontId="15" fillId="33" borderId="14" xfId="0" applyNumberFormat="1" applyFont="1" applyFill="1" applyBorder="1" applyAlignment="1" applyProtection="1">
      <alignment horizontal="center"/>
      <protection locked="0"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26" xfId="0" applyFont="1" applyFill="1" applyBorder="1" applyAlignment="1" applyProtection="1">
      <alignment/>
      <protection locked="0"/>
    </xf>
    <xf numFmtId="174" fontId="15" fillId="33" borderId="26" xfId="0" applyNumberFormat="1" applyFont="1" applyFill="1" applyBorder="1" applyAlignment="1" applyProtection="1">
      <alignment horizontal="center"/>
      <protection/>
    </xf>
    <xf numFmtId="174" fontId="15" fillId="33" borderId="26" xfId="0" applyNumberFormat="1" applyFont="1" applyFill="1" applyBorder="1" applyAlignment="1" applyProtection="1">
      <alignment horizontal="center"/>
      <protection locked="0"/>
    </xf>
    <xf numFmtId="174" fontId="15" fillId="33" borderId="15" xfId="0" applyNumberFormat="1" applyFont="1" applyFill="1" applyBorder="1" applyAlignment="1" applyProtection="1">
      <alignment horizontal="center"/>
      <protection/>
    </xf>
    <xf numFmtId="0" fontId="59" fillId="33" borderId="14" xfId="0" applyNumberFormat="1" applyFont="1" applyFill="1" applyBorder="1" applyAlignment="1" applyProtection="1">
      <alignment horizontal="center"/>
      <protection locked="0"/>
    </xf>
    <xf numFmtId="171" fontId="0" fillId="0" borderId="0" xfId="47" applyFont="1" applyAlignment="1" applyProtection="1">
      <alignment/>
      <protection locked="0"/>
    </xf>
    <xf numFmtId="171" fontId="50" fillId="0" borderId="0" xfId="47" applyFont="1" applyFill="1" applyBorder="1" applyAlignment="1" applyProtection="1">
      <alignment horizontal="center"/>
      <protection locked="0"/>
    </xf>
    <xf numFmtId="171" fontId="52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9" fontId="0" fillId="0" borderId="0" xfId="54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0" fillId="0" borderId="0" xfId="45" applyAlignment="1">
      <alignment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15" fillId="33" borderId="14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174" fontId="14" fillId="33" borderId="0" xfId="0" applyNumberFormat="1" applyFont="1" applyFill="1" applyBorder="1" applyAlignment="1" applyProtection="1">
      <alignment horizontal="left"/>
      <protection/>
    </xf>
    <xf numFmtId="174" fontId="14" fillId="33" borderId="15" xfId="0" applyNumberFormat="1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115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1621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4" t="s">
        <v>581</v>
      </c>
      <c r="E4" s="38" t="s">
        <v>12</v>
      </c>
      <c r="F4" s="39"/>
      <c r="G4" s="39"/>
      <c r="H4" s="40"/>
      <c r="I4" s="38" t="s">
        <v>9</v>
      </c>
      <c r="J4" s="81">
        <f>VLOOKUP(D4,CLIENTES,10,FALSE)</f>
        <v>0</v>
      </c>
      <c r="K4" s="20"/>
    </row>
    <row r="5" spans="2:11" ht="15">
      <c r="B5" s="85"/>
      <c r="C5" s="86"/>
      <c r="D5" s="87"/>
      <c r="E5" s="129" t="str">
        <f>VLOOKUP(D4,CLIENTES,4,FALSE)</f>
        <v>Av. Eduardo Frei Montalva 5325</v>
      </c>
      <c r="F5" s="129"/>
      <c r="G5" s="129"/>
      <c r="H5" s="129"/>
      <c r="I5" s="129"/>
      <c r="J5" s="130"/>
      <c r="K5" s="20"/>
    </row>
    <row r="6" spans="2:10" ht="17.25" customHeight="1">
      <c r="B6" s="85" t="s">
        <v>27</v>
      </c>
      <c r="C6" s="86"/>
      <c r="D6" s="88" t="str">
        <f>VLOOKUP(D4,CLIENTES,2,FALSE)</f>
        <v>SERVICIOS LUCAS DIESEL S.A.</v>
      </c>
      <c r="E6" s="86" t="s">
        <v>7</v>
      </c>
      <c r="F6" s="129" t="str">
        <f>VLOOKUP(D4,CLIENTES,5,FALSE)</f>
        <v>Conchali</v>
      </c>
      <c r="G6" s="129"/>
      <c r="H6" s="129"/>
      <c r="I6" s="89" t="str">
        <f>VLOOKUP(D4,CLIENTES,11,FALSE)</f>
        <v>rrojas@lucasdiesel.cl</v>
      </c>
      <c r="J6" s="90"/>
    </row>
    <row r="7" spans="2:10" ht="15">
      <c r="B7" s="85" t="s">
        <v>25</v>
      </c>
      <c r="C7" s="86"/>
      <c r="D7" s="88">
        <f>VLOOKUP(D4,CLIENTES,3,FALSE)</f>
        <v>0</v>
      </c>
      <c r="E7" s="86" t="s">
        <v>8</v>
      </c>
      <c r="F7" s="129" t="str">
        <f>VLOOKUP(D4,CLIENTES,6,FALSE)</f>
        <v>stgo</v>
      </c>
      <c r="G7" s="129"/>
      <c r="H7" s="129"/>
      <c r="I7" s="86" t="s">
        <v>26</v>
      </c>
      <c r="J7" s="91" t="str">
        <f>VLOOKUP(D4,CLIENTES,8,FALSE)</f>
        <v>Rodrigo Rojas</v>
      </c>
    </row>
    <row r="8" spans="2:12" ht="15.75" thickBot="1">
      <c r="B8" s="127" t="s">
        <v>28</v>
      </c>
      <c r="C8" s="128"/>
      <c r="D8" s="88">
        <f>VLOOKUP(D4,CLIENTES,7,FALSE)</f>
        <v>0</v>
      </c>
      <c r="E8" s="86" t="s">
        <v>11</v>
      </c>
      <c r="F8" s="129">
        <f>VLOOKUP(D4,CLIENTES,12,FALSE)</f>
        <v>0</v>
      </c>
      <c r="G8" s="129"/>
      <c r="H8" s="129"/>
      <c r="I8" s="86" t="s">
        <v>14</v>
      </c>
      <c r="J8" s="92">
        <f ca="1">TODAY()</f>
        <v>41750</v>
      </c>
      <c r="K8" s="20"/>
      <c r="L8" s="20"/>
    </row>
    <row r="9" spans="2:25" ht="16.5" thickBot="1" thickTop="1">
      <c r="B9" s="93"/>
      <c r="C9" s="94"/>
      <c r="D9" s="95"/>
      <c r="E9" s="94"/>
      <c r="F9" s="95"/>
      <c r="G9" s="95"/>
      <c r="H9" s="95"/>
      <c r="I9" s="94"/>
      <c r="J9" s="96"/>
      <c r="K9" s="20"/>
      <c r="L9" s="20"/>
      <c r="P9" s="21"/>
      <c r="Q9" s="22" t="s">
        <v>21</v>
      </c>
      <c r="R9" s="23" t="s">
        <v>22</v>
      </c>
      <c r="Y9" s="8" t="s">
        <v>607</v>
      </c>
    </row>
    <row r="10" spans="2:31" ht="15.75" thickBot="1">
      <c r="B10" s="97" t="s">
        <v>1</v>
      </c>
      <c r="C10" s="123" t="s">
        <v>24</v>
      </c>
      <c r="D10" s="124"/>
      <c r="E10" s="125"/>
      <c r="F10" s="98" t="s">
        <v>0</v>
      </c>
      <c r="G10" s="99" t="s">
        <v>23</v>
      </c>
      <c r="H10" s="99" t="s">
        <v>15</v>
      </c>
      <c r="I10" s="100" t="s">
        <v>13</v>
      </c>
      <c r="J10" s="101" t="s">
        <v>2</v>
      </c>
      <c r="K10" s="24" t="s">
        <v>18</v>
      </c>
      <c r="L10" s="25" t="s">
        <v>587</v>
      </c>
      <c r="M10" s="25" t="s">
        <v>586</v>
      </c>
      <c r="N10" s="116"/>
      <c r="O10" s="25"/>
      <c r="P10" s="26" t="s">
        <v>16</v>
      </c>
      <c r="Q10" s="25" t="s">
        <v>19</v>
      </c>
      <c r="R10" s="27" t="s">
        <v>20</v>
      </c>
      <c r="X10" s="8" t="s">
        <v>601</v>
      </c>
      <c r="Y10" s="8" t="s">
        <v>608</v>
      </c>
      <c r="Z10" s="8" t="s">
        <v>599</v>
      </c>
      <c r="AA10" s="8" t="s">
        <v>609</v>
      </c>
      <c r="AB10" s="8" t="s">
        <v>610</v>
      </c>
      <c r="AD10" s="121" t="s">
        <v>599</v>
      </c>
      <c r="AE10" s="8" t="s">
        <v>616</v>
      </c>
    </row>
    <row r="11" spans="2:31" ht="15">
      <c r="B11" s="102">
        <v>1</v>
      </c>
      <c r="C11" s="126" t="s">
        <v>590</v>
      </c>
      <c r="D11" s="124"/>
      <c r="E11" s="125"/>
      <c r="F11" s="103">
        <v>1100</v>
      </c>
      <c r="G11" s="104" t="s">
        <v>23</v>
      </c>
      <c r="H11" s="105">
        <f>VLOOKUP(B11,COTIZADO,8,FALSE)</f>
        <v>320</v>
      </c>
      <c r="I11" s="106">
        <v>0</v>
      </c>
      <c r="J11" s="107">
        <f aca="true" t="shared" si="0" ref="J11:J28">F11*H11*(1-I11/100)</f>
        <v>352000</v>
      </c>
      <c r="K11" s="28">
        <v>1</v>
      </c>
      <c r="L11" s="29">
        <v>320</v>
      </c>
      <c r="M11" s="29">
        <v>271</v>
      </c>
      <c r="N11" s="117">
        <f>L11/M11</f>
        <v>1.1808118081180812</v>
      </c>
      <c r="O11" s="29"/>
      <c r="P11" s="30">
        <v>1</v>
      </c>
      <c r="Q11" s="31">
        <f>+L11</f>
        <v>320</v>
      </c>
      <c r="R11" s="35">
        <f>Q11*P11</f>
        <v>320</v>
      </c>
      <c r="S11" s="8">
        <f>L11*F11</f>
        <v>352000</v>
      </c>
      <c r="T11" s="8">
        <f>M11*F11</f>
        <v>298100</v>
      </c>
      <c r="X11" s="118">
        <f>2800*16/3000</f>
        <v>14.933333333333334</v>
      </c>
      <c r="Y11" s="8">
        <f>128*F11</f>
        <v>140800</v>
      </c>
      <c r="Z11" s="8">
        <f>64*F11</f>
        <v>70400</v>
      </c>
      <c r="AA11" s="8">
        <f>32*F11</f>
        <v>35200</v>
      </c>
      <c r="AB11" s="8">
        <f>96*F11</f>
        <v>105600</v>
      </c>
      <c r="AD11" s="121">
        <f>128+64</f>
        <v>192</v>
      </c>
      <c r="AE11" s="118">
        <f>+H11/1.5</f>
        <v>213.33333333333334</v>
      </c>
    </row>
    <row r="12" spans="2:31" ht="15">
      <c r="B12" s="108">
        <v>2</v>
      </c>
      <c r="C12" s="127" t="s">
        <v>589</v>
      </c>
      <c r="D12" s="131"/>
      <c r="E12" s="132"/>
      <c r="F12" s="109">
        <v>600</v>
      </c>
      <c r="G12" s="110" t="s">
        <v>23</v>
      </c>
      <c r="H12" s="111">
        <f aca="true" t="shared" si="1" ref="H12:H28">VLOOKUP(B12,COTIZADO,8,FALSE)</f>
        <v>696</v>
      </c>
      <c r="I12" s="112">
        <v>0</v>
      </c>
      <c r="J12" s="113">
        <f t="shared" si="0"/>
        <v>417600</v>
      </c>
      <c r="K12" s="28">
        <v>2</v>
      </c>
      <c r="L12" s="29">
        <v>696</v>
      </c>
      <c r="M12" s="29">
        <v>406</v>
      </c>
      <c r="N12" s="117">
        <f>L12/M12</f>
        <v>1.7142857142857142</v>
      </c>
      <c r="O12" s="29"/>
      <c r="P12" s="30">
        <v>1</v>
      </c>
      <c r="Q12" s="31">
        <f>+L12</f>
        <v>696</v>
      </c>
      <c r="R12" s="35">
        <f aca="true" t="shared" si="2" ref="R12:R28">Q12*P12</f>
        <v>696</v>
      </c>
      <c r="S12" s="8">
        <f>L12*F12</f>
        <v>417600</v>
      </c>
      <c r="T12" s="8">
        <f>M12*F12</f>
        <v>243600</v>
      </c>
      <c r="X12" s="118">
        <f>1500*53/3000</f>
        <v>26.5</v>
      </c>
      <c r="Y12" s="8">
        <f>278*F12</f>
        <v>166800</v>
      </c>
      <c r="Z12" s="8">
        <f>139*F12</f>
        <v>83400</v>
      </c>
      <c r="AA12" s="8">
        <f>70*F12</f>
        <v>42000</v>
      </c>
      <c r="AB12" s="8">
        <f>209*F12</f>
        <v>125400</v>
      </c>
      <c r="AD12" s="121">
        <f>278+139</f>
        <v>417</v>
      </c>
      <c r="AE12" s="118">
        <f>+H12/1.5</f>
        <v>464</v>
      </c>
    </row>
    <row r="13" spans="2:31" ht="15">
      <c r="B13" s="108">
        <v>3</v>
      </c>
      <c r="C13" s="127" t="s">
        <v>618</v>
      </c>
      <c r="D13" s="131"/>
      <c r="E13" s="132"/>
      <c r="F13" s="109">
        <v>100</v>
      </c>
      <c r="G13" s="110" t="s">
        <v>23</v>
      </c>
      <c r="H13" s="111">
        <f t="shared" si="1"/>
        <v>872</v>
      </c>
      <c r="I13" s="112">
        <v>0</v>
      </c>
      <c r="J13" s="113">
        <f t="shared" si="0"/>
        <v>87200</v>
      </c>
      <c r="K13" s="28">
        <v>3</v>
      </c>
      <c r="L13" s="29">
        <v>872</v>
      </c>
      <c r="M13" s="29"/>
      <c r="N13" s="117"/>
      <c r="O13" s="29"/>
      <c r="P13" s="30">
        <v>1</v>
      </c>
      <c r="Q13" s="31">
        <f>+L13</f>
        <v>872</v>
      </c>
      <c r="R13" s="35">
        <f t="shared" si="2"/>
        <v>872</v>
      </c>
      <c r="S13" s="8">
        <f>L13*F13</f>
        <v>87200</v>
      </c>
      <c r="T13" s="8">
        <f>M13*F13</f>
        <v>0</v>
      </c>
      <c r="X13" s="118">
        <v>27</v>
      </c>
      <c r="Y13" s="8">
        <f>349*F13</f>
        <v>34900</v>
      </c>
      <c r="Z13" s="8">
        <f>174*F13</f>
        <v>17400</v>
      </c>
      <c r="AA13" s="8">
        <f>87*F13</f>
        <v>8700</v>
      </c>
      <c r="AB13" s="8">
        <f>262*F13</f>
        <v>26200</v>
      </c>
      <c r="AD13" s="121">
        <f>349+174</f>
        <v>523</v>
      </c>
      <c r="AE13" s="118">
        <f>+H13/1.5</f>
        <v>581.3333333333334</v>
      </c>
    </row>
    <row r="14" spans="2:28" ht="15">
      <c r="B14" s="114">
        <v>4</v>
      </c>
      <c r="C14" s="127"/>
      <c r="D14" s="131"/>
      <c r="E14" s="132"/>
      <c r="F14" s="109"/>
      <c r="G14" s="110"/>
      <c r="H14" s="111">
        <f t="shared" si="1"/>
        <v>0</v>
      </c>
      <c r="I14" s="112">
        <v>0</v>
      </c>
      <c r="J14" s="113">
        <f t="shared" si="0"/>
        <v>0</v>
      </c>
      <c r="K14" s="28">
        <v>4</v>
      </c>
      <c r="L14" s="29"/>
      <c r="M14" s="29"/>
      <c r="N14" s="117"/>
      <c r="O14" s="29"/>
      <c r="P14" s="30"/>
      <c r="Q14" s="31">
        <f aca="true" t="shared" si="3" ref="Q14:Q23">L14</f>
        <v>0</v>
      </c>
      <c r="R14" s="35">
        <f t="shared" si="2"/>
        <v>0</v>
      </c>
      <c r="S14" s="8">
        <f>SUM(S11:S13)</f>
        <v>856800</v>
      </c>
      <c r="T14" s="8">
        <f>SUM(T11:T13)</f>
        <v>541700</v>
      </c>
      <c r="X14" s="118">
        <f>+SUM(X11:X13)</f>
        <v>68.43333333333334</v>
      </c>
      <c r="Y14" s="118">
        <f>+SUM(Y11:Y13)</f>
        <v>342500</v>
      </c>
      <c r="Z14" s="118">
        <f>+SUM(Z11:Z13)</f>
        <v>171200</v>
      </c>
      <c r="AA14" s="118">
        <f>+SUM(AA11:AA13)</f>
        <v>85900</v>
      </c>
      <c r="AB14" s="118">
        <f>+SUM(AB11:AB13)</f>
        <v>257200</v>
      </c>
    </row>
    <row r="15" spans="2:28" ht="15">
      <c r="B15" s="114">
        <v>5</v>
      </c>
      <c r="C15" s="127"/>
      <c r="D15" s="131"/>
      <c r="E15" s="132"/>
      <c r="F15" s="109"/>
      <c r="G15" s="110"/>
      <c r="H15" s="111">
        <f t="shared" si="1"/>
        <v>0</v>
      </c>
      <c r="I15" s="112">
        <v>0</v>
      </c>
      <c r="J15" s="113">
        <f t="shared" si="0"/>
        <v>0</v>
      </c>
      <c r="K15" s="28">
        <v>5</v>
      </c>
      <c r="L15" s="29"/>
      <c r="M15" s="29"/>
      <c r="N15" s="117"/>
      <c r="O15" s="29"/>
      <c r="P15" s="30"/>
      <c r="Q15" s="31">
        <f t="shared" si="3"/>
        <v>0</v>
      </c>
      <c r="R15" s="35">
        <f t="shared" si="2"/>
        <v>0</v>
      </c>
      <c r="T15" s="8">
        <f>S14/T14</f>
        <v>1.5816872807827211</v>
      </c>
      <c r="AA15" s="118">
        <f>+SUM(Y14:AA14)</f>
        <v>599600</v>
      </c>
      <c r="AB15" s="118">
        <f>+SUM(Y14:AB14)</f>
        <v>856800</v>
      </c>
    </row>
    <row r="16" spans="2:25" ht="15">
      <c r="B16" s="114">
        <v>6</v>
      </c>
      <c r="C16" s="133"/>
      <c r="D16" s="134"/>
      <c r="E16" s="135"/>
      <c r="F16" s="82"/>
      <c r="G16" s="48"/>
      <c r="H16" s="75">
        <f t="shared" si="1"/>
        <v>0</v>
      </c>
      <c r="I16" s="76">
        <v>0</v>
      </c>
      <c r="J16" s="77">
        <f t="shared" si="0"/>
        <v>0</v>
      </c>
      <c r="K16" s="28">
        <v>6</v>
      </c>
      <c r="L16" s="29"/>
      <c r="M16" s="29"/>
      <c r="N16" s="117"/>
      <c r="O16" s="29"/>
      <c r="P16" s="30"/>
      <c r="Q16" s="31">
        <f t="shared" si="3"/>
        <v>0</v>
      </c>
      <c r="R16" s="35">
        <f t="shared" si="2"/>
        <v>0</v>
      </c>
      <c r="X16" s="8" t="s">
        <v>614</v>
      </c>
      <c r="Y16" s="120">
        <f>+S21/X14-1</f>
        <v>0.06673161227471991</v>
      </c>
    </row>
    <row r="17" spans="2:28" ht="15">
      <c r="B17" s="114">
        <v>7</v>
      </c>
      <c r="C17" s="133"/>
      <c r="D17" s="134"/>
      <c r="E17" s="135"/>
      <c r="F17" s="82"/>
      <c r="G17" s="48"/>
      <c r="H17" s="75">
        <f t="shared" si="1"/>
        <v>0</v>
      </c>
      <c r="I17" s="76">
        <v>0</v>
      </c>
      <c r="J17" s="77">
        <f t="shared" si="0"/>
        <v>0</v>
      </c>
      <c r="K17" s="28">
        <v>7</v>
      </c>
      <c r="L17" s="29"/>
      <c r="M17" s="29"/>
      <c r="N17" s="117"/>
      <c r="O17" s="29"/>
      <c r="P17" s="30"/>
      <c r="Q17" s="31">
        <f t="shared" si="3"/>
        <v>0</v>
      </c>
      <c r="R17" s="35">
        <f t="shared" si="2"/>
        <v>0</v>
      </c>
      <c r="AB17" s="8">
        <f>+AB15/(Y14+Z14)</f>
        <v>1.6678995522678606</v>
      </c>
    </row>
    <row r="18" spans="2:18" ht="15">
      <c r="B18" s="114">
        <v>8</v>
      </c>
      <c r="C18" s="133"/>
      <c r="D18" s="134"/>
      <c r="E18" s="135"/>
      <c r="F18" s="82"/>
      <c r="G18" s="48"/>
      <c r="H18" s="75">
        <f t="shared" si="1"/>
        <v>0</v>
      </c>
      <c r="I18" s="76">
        <v>0</v>
      </c>
      <c r="J18" s="77">
        <f t="shared" si="0"/>
        <v>0</v>
      </c>
      <c r="K18" s="28">
        <v>8</v>
      </c>
      <c r="L18" s="29"/>
      <c r="M18" s="29"/>
      <c r="N18" s="117"/>
      <c r="O18" s="29"/>
      <c r="P18" s="30"/>
      <c r="Q18" s="31">
        <f t="shared" si="3"/>
        <v>0</v>
      </c>
      <c r="R18" s="35">
        <f t="shared" si="2"/>
        <v>0</v>
      </c>
    </row>
    <row r="19" spans="2:18" ht="15">
      <c r="B19" s="114">
        <v>9</v>
      </c>
      <c r="C19" s="133"/>
      <c r="D19" s="134"/>
      <c r="E19" s="135"/>
      <c r="F19" s="82"/>
      <c r="G19" s="48"/>
      <c r="H19" s="75">
        <f t="shared" si="1"/>
        <v>0</v>
      </c>
      <c r="I19" s="76">
        <v>0</v>
      </c>
      <c r="J19" s="77">
        <f t="shared" si="0"/>
        <v>0</v>
      </c>
      <c r="K19" s="28">
        <v>9</v>
      </c>
      <c r="L19" s="29"/>
      <c r="M19" s="29"/>
      <c r="N19" s="117"/>
      <c r="O19" s="29"/>
      <c r="P19" s="30"/>
      <c r="Q19" s="31">
        <f t="shared" si="3"/>
        <v>0</v>
      </c>
      <c r="R19" s="35">
        <f t="shared" si="2"/>
        <v>0</v>
      </c>
    </row>
    <row r="20" spans="2:21" ht="15">
      <c r="B20" s="114">
        <v>10</v>
      </c>
      <c r="C20" s="133"/>
      <c r="D20" s="134"/>
      <c r="E20" s="135"/>
      <c r="F20" s="82"/>
      <c r="G20" s="48"/>
      <c r="H20" s="75">
        <f t="shared" si="1"/>
        <v>0</v>
      </c>
      <c r="I20" s="76">
        <v>0</v>
      </c>
      <c r="J20" s="77">
        <f t="shared" si="0"/>
        <v>0</v>
      </c>
      <c r="K20" s="28">
        <v>10</v>
      </c>
      <c r="L20" s="29"/>
      <c r="M20" s="29"/>
      <c r="N20" s="117"/>
      <c r="O20" s="29"/>
      <c r="P20" s="30"/>
      <c r="Q20" s="31">
        <f t="shared" si="3"/>
        <v>0</v>
      </c>
      <c r="R20" s="35">
        <f t="shared" si="2"/>
        <v>0</v>
      </c>
      <c r="T20" s="8" t="s">
        <v>602</v>
      </c>
      <c r="U20" s="8" t="s">
        <v>591</v>
      </c>
    </row>
    <row r="21" spans="2:26" ht="15">
      <c r="B21" s="114">
        <v>11</v>
      </c>
      <c r="C21" s="133"/>
      <c r="D21" s="134"/>
      <c r="E21" s="135"/>
      <c r="F21" s="82"/>
      <c r="G21" s="48"/>
      <c r="H21" s="75">
        <f t="shared" si="1"/>
        <v>0</v>
      </c>
      <c r="I21" s="76">
        <v>0</v>
      </c>
      <c r="J21" s="77">
        <f t="shared" si="0"/>
        <v>0</v>
      </c>
      <c r="K21" s="28">
        <v>11</v>
      </c>
      <c r="L21" s="29"/>
      <c r="M21" s="29"/>
      <c r="N21" s="117"/>
      <c r="O21" s="29"/>
      <c r="P21" s="30"/>
      <c r="Q21" s="31">
        <f t="shared" si="3"/>
        <v>0</v>
      </c>
      <c r="R21" s="35">
        <f t="shared" si="2"/>
        <v>0</v>
      </c>
      <c r="S21" s="8">
        <f>+SUM(T21:T27)</f>
        <v>73</v>
      </c>
      <c r="T21" s="8">
        <v>10</v>
      </c>
      <c r="U21" s="8" t="s">
        <v>594</v>
      </c>
      <c r="V21" s="8">
        <v>157500</v>
      </c>
      <c r="W21" s="8" t="s">
        <v>604</v>
      </c>
      <c r="Y21" s="8">
        <f>+SUM(V21:V27)</f>
        <v>1101793</v>
      </c>
      <c r="Z21" s="8" t="s">
        <v>611</v>
      </c>
    </row>
    <row r="22" spans="2:23" ht="15">
      <c r="B22" s="114">
        <v>12</v>
      </c>
      <c r="C22" s="133"/>
      <c r="D22" s="134"/>
      <c r="E22" s="135"/>
      <c r="F22" s="82"/>
      <c r="G22" s="48"/>
      <c r="H22" s="75">
        <f t="shared" si="1"/>
        <v>0</v>
      </c>
      <c r="I22" s="76">
        <v>0</v>
      </c>
      <c r="J22" s="77">
        <f t="shared" si="0"/>
        <v>0</v>
      </c>
      <c r="K22" s="28">
        <v>12</v>
      </c>
      <c r="L22" s="29"/>
      <c r="M22" s="29" t="s">
        <v>580</v>
      </c>
      <c r="N22" s="117"/>
      <c r="O22" s="29"/>
      <c r="P22" s="30"/>
      <c r="Q22" s="31">
        <f t="shared" si="3"/>
        <v>0</v>
      </c>
      <c r="R22" s="35">
        <f t="shared" si="2"/>
        <v>0</v>
      </c>
      <c r="T22" s="8">
        <v>9</v>
      </c>
      <c r="U22" s="8" t="s">
        <v>605</v>
      </c>
      <c r="V22" s="8">
        <v>140700</v>
      </c>
      <c r="W22" s="8" t="s">
        <v>604</v>
      </c>
    </row>
    <row r="23" spans="2:23" ht="15">
      <c r="B23" s="114">
        <v>13</v>
      </c>
      <c r="C23" s="133"/>
      <c r="D23" s="134"/>
      <c r="E23" s="135"/>
      <c r="F23" s="82"/>
      <c r="G23" s="48"/>
      <c r="H23" s="75">
        <f t="shared" si="1"/>
        <v>0</v>
      </c>
      <c r="I23" s="76">
        <v>0</v>
      </c>
      <c r="J23" s="77">
        <f t="shared" si="0"/>
        <v>0</v>
      </c>
      <c r="K23" s="28">
        <v>13</v>
      </c>
      <c r="L23" s="29"/>
      <c r="M23" s="29"/>
      <c r="N23" s="117"/>
      <c r="O23" s="29"/>
      <c r="P23" s="30"/>
      <c r="Q23" s="31">
        <f t="shared" si="3"/>
        <v>0</v>
      </c>
      <c r="R23" s="35">
        <f t="shared" si="2"/>
        <v>0</v>
      </c>
      <c r="T23" s="8">
        <v>13</v>
      </c>
      <c r="U23" s="8" t="s">
        <v>592</v>
      </c>
      <c r="V23" s="8">
        <v>204750</v>
      </c>
      <c r="W23" s="8" t="s">
        <v>604</v>
      </c>
    </row>
    <row r="24" spans="2:23" ht="15">
      <c r="B24" s="114">
        <v>14</v>
      </c>
      <c r="C24" s="133"/>
      <c r="D24" s="134"/>
      <c r="E24" s="135"/>
      <c r="F24" s="82"/>
      <c r="G24" s="48"/>
      <c r="H24" s="75">
        <f t="shared" si="1"/>
        <v>0</v>
      </c>
      <c r="I24" s="76">
        <v>0</v>
      </c>
      <c r="J24" s="77">
        <f t="shared" si="0"/>
        <v>0</v>
      </c>
      <c r="K24" s="28">
        <v>14</v>
      </c>
      <c r="L24" s="29"/>
      <c r="M24" s="29"/>
      <c r="N24" s="117"/>
      <c r="O24" s="29"/>
      <c r="P24" s="30"/>
      <c r="Q24" s="31"/>
      <c r="R24" s="35">
        <f t="shared" si="2"/>
        <v>0</v>
      </c>
      <c r="T24" s="8">
        <v>3</v>
      </c>
      <c r="U24" s="8" t="s">
        <v>606</v>
      </c>
      <c r="V24" s="8">
        <v>47250</v>
      </c>
      <c r="W24" s="8" t="s">
        <v>604</v>
      </c>
    </row>
    <row r="25" spans="2:23" ht="15">
      <c r="B25" s="114">
        <v>15</v>
      </c>
      <c r="C25" s="45"/>
      <c r="D25" s="46"/>
      <c r="E25" s="47"/>
      <c r="F25" s="82"/>
      <c r="G25" s="48"/>
      <c r="H25" s="75">
        <f t="shared" si="1"/>
        <v>0</v>
      </c>
      <c r="I25" s="76">
        <v>0</v>
      </c>
      <c r="J25" s="77">
        <f t="shared" si="0"/>
        <v>0</v>
      </c>
      <c r="K25" s="28">
        <v>15</v>
      </c>
      <c r="L25" s="29"/>
      <c r="M25" s="29"/>
      <c r="N25" s="117"/>
      <c r="O25" s="29"/>
      <c r="P25" s="30"/>
      <c r="Q25" s="31"/>
      <c r="R25" s="35">
        <f t="shared" si="2"/>
        <v>0</v>
      </c>
      <c r="T25" s="8">
        <v>10</v>
      </c>
      <c r="U25" s="8" t="s">
        <v>594</v>
      </c>
      <c r="V25" s="8">
        <v>152550</v>
      </c>
      <c r="W25" s="8" t="s">
        <v>596</v>
      </c>
    </row>
    <row r="26" spans="2:23" ht="15">
      <c r="B26" s="114">
        <v>16</v>
      </c>
      <c r="C26" s="45"/>
      <c r="D26" s="46"/>
      <c r="E26" s="47"/>
      <c r="F26" s="82"/>
      <c r="G26" s="48"/>
      <c r="H26" s="75">
        <f t="shared" si="1"/>
        <v>0</v>
      </c>
      <c r="I26" s="76">
        <v>0</v>
      </c>
      <c r="J26" s="77">
        <f t="shared" si="0"/>
        <v>0</v>
      </c>
      <c r="K26" s="28">
        <v>16</v>
      </c>
      <c r="L26" s="29"/>
      <c r="M26" s="29"/>
      <c r="N26" s="117"/>
      <c r="O26" s="29"/>
      <c r="P26" s="30">
        <v>1.5</v>
      </c>
      <c r="Q26" s="31"/>
      <c r="R26" s="35">
        <f t="shared" si="2"/>
        <v>0</v>
      </c>
      <c r="T26" s="8">
        <v>18</v>
      </c>
      <c r="U26" s="8" t="s">
        <v>600</v>
      </c>
      <c r="V26" s="8">
        <v>263443</v>
      </c>
      <c r="W26" s="8" t="s">
        <v>596</v>
      </c>
    </row>
    <row r="27" spans="2:23" ht="15">
      <c r="B27" s="114">
        <v>17</v>
      </c>
      <c r="C27" s="45"/>
      <c r="D27" s="46"/>
      <c r="E27" s="47"/>
      <c r="F27" s="82"/>
      <c r="G27" s="48"/>
      <c r="H27" s="75">
        <f t="shared" si="1"/>
        <v>0</v>
      </c>
      <c r="I27" s="76">
        <v>0</v>
      </c>
      <c r="J27" s="77">
        <f t="shared" si="0"/>
        <v>0</v>
      </c>
      <c r="K27" s="28">
        <v>17</v>
      </c>
      <c r="L27" s="29"/>
      <c r="M27" s="29"/>
      <c r="N27" s="117"/>
      <c r="O27" s="29"/>
      <c r="P27" s="30">
        <v>1.5</v>
      </c>
      <c r="Q27" s="31"/>
      <c r="R27" s="35">
        <f t="shared" si="2"/>
        <v>0</v>
      </c>
      <c r="T27" s="119">
        <v>10</v>
      </c>
      <c r="U27" s="119" t="s">
        <v>603</v>
      </c>
      <c r="V27" s="119">
        <v>135600</v>
      </c>
      <c r="W27" s="119" t="s">
        <v>596</v>
      </c>
    </row>
    <row r="28" spans="2:26" ht="15.75" thickBot="1">
      <c r="B28" s="114">
        <v>18</v>
      </c>
      <c r="C28" s="49"/>
      <c r="D28" s="50"/>
      <c r="E28" s="51"/>
      <c r="F28" s="82"/>
      <c r="G28" s="48"/>
      <c r="H28" s="78">
        <f t="shared" si="1"/>
        <v>0</v>
      </c>
      <c r="I28" s="79">
        <v>0</v>
      </c>
      <c r="J28" s="80">
        <f t="shared" si="0"/>
        <v>0</v>
      </c>
      <c r="K28" s="28">
        <v>18</v>
      </c>
      <c r="L28" s="29"/>
      <c r="M28" s="29"/>
      <c r="N28" s="117"/>
      <c r="O28" s="29"/>
      <c r="P28" s="32">
        <v>1.5</v>
      </c>
      <c r="Q28" s="33"/>
      <c r="R28" s="35">
        <f t="shared" si="2"/>
        <v>0</v>
      </c>
      <c r="V28" s="8">
        <v>190100</v>
      </c>
      <c r="W28" s="8" t="s">
        <v>593</v>
      </c>
      <c r="Y28" s="8">
        <f>+V28+V29+V30+V31</f>
        <v>702073</v>
      </c>
      <c r="Z28" s="8" t="s">
        <v>612</v>
      </c>
    </row>
    <row r="29" spans="2:23" ht="15">
      <c r="B29" s="52" t="s">
        <v>17</v>
      </c>
      <c r="C29" s="83"/>
      <c r="D29" s="42"/>
      <c r="E29" s="42"/>
      <c r="F29" s="53"/>
      <c r="G29" s="54" t="s">
        <v>3</v>
      </c>
      <c r="H29" s="55"/>
      <c r="I29" s="56"/>
      <c r="J29" s="57">
        <f>SUM(J11:J28)</f>
        <v>856800</v>
      </c>
      <c r="V29" s="8">
        <f>108806+31065+39602</f>
        <v>179473</v>
      </c>
      <c r="W29" s="8" t="s">
        <v>615</v>
      </c>
    </row>
    <row r="30" spans="2:23" ht="15">
      <c r="B30" s="58"/>
      <c r="C30" s="59"/>
      <c r="D30" s="60"/>
      <c r="E30" s="42"/>
      <c r="F30" s="61"/>
      <c r="G30" s="62" t="s">
        <v>13</v>
      </c>
      <c r="H30" s="63"/>
      <c r="I30" s="64"/>
      <c r="J30" s="65">
        <f>J29*I30</f>
        <v>0</v>
      </c>
      <c r="V30" s="8">
        <v>32500</v>
      </c>
      <c r="W30" s="8" t="s">
        <v>595</v>
      </c>
    </row>
    <row r="31" spans="2:23" ht="15">
      <c r="B31" s="41"/>
      <c r="C31" s="42"/>
      <c r="D31" s="42"/>
      <c r="E31" s="42"/>
      <c r="F31" s="66"/>
      <c r="G31" s="67" t="s">
        <v>4</v>
      </c>
      <c r="H31" s="59"/>
      <c r="I31" s="68"/>
      <c r="J31" s="65">
        <f>J29-J30</f>
        <v>856800</v>
      </c>
      <c r="V31" s="8">
        <v>300000</v>
      </c>
      <c r="W31" s="8" t="s">
        <v>597</v>
      </c>
    </row>
    <row r="32" spans="2:26" ht="15">
      <c r="B32" s="41"/>
      <c r="C32" s="42"/>
      <c r="D32" s="42"/>
      <c r="E32" s="42"/>
      <c r="F32" s="61"/>
      <c r="G32" s="62">
        <v>0.19</v>
      </c>
      <c r="H32" s="63"/>
      <c r="I32" s="64">
        <v>0.19</v>
      </c>
      <c r="J32" s="65">
        <f>J31*I32</f>
        <v>162792</v>
      </c>
      <c r="V32" s="8">
        <v>324800</v>
      </c>
      <c r="W32" s="8" t="s">
        <v>598</v>
      </c>
      <c r="Y32" s="8">
        <f>+V32</f>
        <v>324800</v>
      </c>
      <c r="Z32" s="8" t="s">
        <v>613</v>
      </c>
    </row>
    <row r="33" spans="2:10" ht="15.75" thickBot="1">
      <c r="B33" s="43"/>
      <c r="C33" s="44"/>
      <c r="D33" s="44"/>
      <c r="E33" s="44"/>
      <c r="F33" s="69"/>
      <c r="G33" s="70" t="s">
        <v>2</v>
      </c>
      <c r="H33" s="71"/>
      <c r="I33" s="72"/>
      <c r="J33" s="73">
        <f>J31+J32</f>
        <v>1019592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585</v>
      </c>
      <c r="E107" t="s">
        <v>582</v>
      </c>
      <c r="F107" t="s">
        <v>583</v>
      </c>
      <c r="G107" t="s">
        <v>584</v>
      </c>
      <c r="I107" t="s">
        <v>588</v>
      </c>
      <c r="J107">
        <v>71070075</v>
      </c>
      <c r="L107" s="122" t="s">
        <v>617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2014-04-08T19:02:12Z</cp:lastPrinted>
  <dcterms:created xsi:type="dcterms:W3CDTF">2013-07-12T05:01:37Z</dcterms:created>
  <dcterms:modified xsi:type="dcterms:W3CDTF">2014-04-21T14:57:04Z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