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OTIZACION (2)" sheetId="2" r:id="rId2"/>
    <sheet name="PLAN" sheetId="3" r:id="rId3"/>
    <sheet name="CLIENTES" sheetId="4" r:id="rId4"/>
  </sheets>
  <definedNames>
    <definedName name="_xlnm.Print_Area" localSheetId="0">'COTIZACION'!$B$1:$J$40</definedName>
    <definedName name="_xlnm.Print_Area" localSheetId="1">'COTIZACION (2)'!$B$1:$J$40</definedName>
    <definedName name="_xlnm.Print_Area" localSheetId="2">'PLAN'!$A$1:$G$29</definedName>
    <definedName name="CLIENTES">'CLIENTES'!$B$2:$M$201</definedName>
    <definedName name="COTIZADO" localSheetId="1">'COTIZACION (2)'!$K$10:$R$35</definedName>
    <definedName name="COTIZADO" comment="VALORES COTIZADOS A PROVEEDORES">'COTIZACION'!$K$10:$R$35</definedName>
    <definedName name="VENTAFINAL" localSheetId="1" comment="PRECIO OFERTADO A CLIENTE">'COTIZACION (2)'!$R$11:$R$35</definedName>
    <definedName name="VENTAFINAL" comment="PRECIO OFERTADO A CLIENTE">'COTIZACION'!$R$11:$R$35</definedName>
    <definedName name="Z_E08BD4BD_63D8_41E6_9AED_1C81DE76C4C8_.wvu.PrintArea" localSheetId="0" hidden="1">'COTIZACION'!$B$1:$J$40</definedName>
    <definedName name="Z_E08BD4BD_63D8_41E6_9AED_1C81DE76C4C8_.wvu.PrintArea" localSheetId="1" hidden="1">'COTIZACION (2)'!$B$1:$J$40</definedName>
  </definedNames>
  <calcPr fullCalcOnLoad="1"/>
</workbook>
</file>

<file path=xl/sharedStrings.xml><?xml version="1.0" encoding="utf-8"?>
<sst xmlns="http://schemas.openxmlformats.org/spreadsheetml/2006/main" count="911" uniqueCount="629">
  <si>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</si>
  <si>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</si>
  <si>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</si>
  <si>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</si>
  <si>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</si>
  <si>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</si>
  <si>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</si>
  <si>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</si>
  <si>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</si>
  <si>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</si>
  <si>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</si>
  <si>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</si>
  <si>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</si>
  <si>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</si>
  <si>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</si>
  <si>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</si>
  <si>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</si>
  <si>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</si>
  <si>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</si>
  <si>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</si>
  <si>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</si>
  <si>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</si>
  <si>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</si>
  <si>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</si>
  <si>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</si>
  <si>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</si>
  <si>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</si>
  <si>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</si>
  <si>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</si>
  <si>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</si>
  <si>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</si>
  <si>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</si>
  <si>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</si>
  <si>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</si>
  <si>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</si>
  <si>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</si>
  <si>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</si>
  <si>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</si>
  <si>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</si>
  <si>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</si>
  <si>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</si>
  <si>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</si>
  <si>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</si>
  <si>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</si>
  <si>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</si>
  <si>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</si>
  <si>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</si>
  <si>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</si>
  <si>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</si>
  <si>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</si>
  <si>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</si>
  <si>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</si>
  <si>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</si>
  <si>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</si>
  <si>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</si>
  <si>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</si>
  <si>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</si>
  <si>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</si>
  <si>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</si>
  <si>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</si>
  <si>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</si>
  <si>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</si>
  <si>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</si>
  <si>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</si>
  <si>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</si>
  <si>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</si>
  <si>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</si>
  <si>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</si>
  <si>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</si>
  <si>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</si>
  <si>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</si>
  <si>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</si>
  <si>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</si>
  <si>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</si>
  <si>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</si>
  <si>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</si>
  <si>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</si>
  <si>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</si>
  <si>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</si>
  <si>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</si>
  <si>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</si>
  <si>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</si>
  <si>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</si>
  <si>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</si>
  <si>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</si>
  <si>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</si>
  <si>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</si>
  <si>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</si>
  <si>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</si>
  <si>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</si>
  <si>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</si>
  <si>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</si>
  <si>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</si>
  <si>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</si>
  <si>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</si>
  <si>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</si>
  <si>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</si>
  <si>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</si>
  <si>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</si>
  <si>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</si>
  <si>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</si>
  <si>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</si>
  <si>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</si>
  <si>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</si>
  <si>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</si>
  <si>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</si>
  <si>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</si>
  <si>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</si>
  <si>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</si>
  <si>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</si>
  <si>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</si>
  <si>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</si>
  <si>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</si>
  <si>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</si>
  <si>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</si>
  <si>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</si>
  <si>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</si>
  <si>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</si>
  <si>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</si>
  <si>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</si>
  <si>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</si>
  <si>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</si>
  <si>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</si>
  <si>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</si>
  <si>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</si>
  <si>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</si>
  <si>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</si>
  <si>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</si>
  <si>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</si>
  <si>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</si>
  <si>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</si>
  <si>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</si>
  <si>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</si>
  <si>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</si>
  <si>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</si>
  <si>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</si>
  <si>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</si>
  <si>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</si>
  <si>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</si>
  <si>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</si>
  <si>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</si>
  <si>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</si>
  <si>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</si>
  <si>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</si>
  <si>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</si>
  <si>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</si>
  <si>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</si>
  <si>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</si>
  <si>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</si>
  <si>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</si>
  <si>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</si>
  <si>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</si>
  <si>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</si>
  <si>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</si>
  <si>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</si>
  <si>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</si>
  <si>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</si>
  <si>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</si>
  <si>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</si>
  <si>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</si>
  <si>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</si>
  <si>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</si>
  <si>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</si>
  <si>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</si>
  <si>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</si>
  <si>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</si>
  <si>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</si>
  <si>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</si>
  <si>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</si>
  <si>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</si>
  <si>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</si>
  <si>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</si>
  <si>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</si>
  <si>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</si>
  <si>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</si>
  <si>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</si>
  <si>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</si>
  <si>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</si>
  <si>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</si>
  <si>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</si>
  <si>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</si>
  <si>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</si>
  <si>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</si>
  <si>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</si>
  <si>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</si>
  <si>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</si>
  <si>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</si>
  <si>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</si>
  <si>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</si>
  <si>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</si>
  <si>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</si>
  <si>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</si>
  <si>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</si>
  <si>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</si>
  <si>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</si>
  <si>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</si>
  <si>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</si>
  <si>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</si>
  <si>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</si>
  <si>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</si>
  <si>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</si>
  <si>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</si>
  <si>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</si>
  <si>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</si>
  <si>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</si>
  <si>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</si>
  <si>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</si>
  <si>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</si>
  <si>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</si>
  <si>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</si>
  <si>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</si>
  <si>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</si>
  <si>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</si>
  <si>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</si>
  <si>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</si>
  <si>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</si>
  <si>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</si>
  <si>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</si>
  <si>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</si>
  <si>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</si>
  <si>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</si>
  <si>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</si>
  <si>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</si>
  <si>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</si>
  <si>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</si>
  <si>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</si>
  <si>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</si>
  <si>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</si>
  <si>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</si>
  <si>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</si>
  <si>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</si>
  <si>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</si>
  <si>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</si>
  <si>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</si>
  <si>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</si>
  <si>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</si>
  <si>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</si>
  <si>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</si>
  <si>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</si>
  <si>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</si>
  <si>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</si>
  <si>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</si>
  <si>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</si>
  <si>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</si>
  <si>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</si>
  <si>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</si>
  <si>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</si>
  <si>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</si>
  <si>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</si>
  <si>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</si>
  <si>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</si>
  <si>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</si>
  <si>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</si>
  <si>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</si>
  <si>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</si>
  <si>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</si>
  <si>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</si>
  <si>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</si>
  <si>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</si>
  <si>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</si>
  <si>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</si>
  <si>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</si>
  <si>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</si>
  <si>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</si>
  <si>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</si>
  <si>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</si>
  <si>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</si>
  <si>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</si>
  <si>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</si>
  <si>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</si>
  <si>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</si>
  <si>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</si>
  <si>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</si>
  <si>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</si>
  <si>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</si>
  <si>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</si>
  <si>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</si>
  <si>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</si>
  <si>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</si>
  <si>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</si>
  <si>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</si>
  <si>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</si>
  <si>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</si>
  <si>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</si>
  <si>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</si>
  <si>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</si>
  <si>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</si>
  <si>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</si>
  <si>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</si>
  <si>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</si>
  <si>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</si>
  <si>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</si>
  <si>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</si>
  <si>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</si>
  <si>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</si>
  <si>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</si>
  <si>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</si>
  <si>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</si>
  <si>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</si>
  <si>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</si>
  <si>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</si>
  <si>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</si>
  <si>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</si>
  <si>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</si>
  <si>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</si>
  <si>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</si>
  <si>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</si>
  <si>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</si>
  <si>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</si>
  <si>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</si>
  <si>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</si>
  <si>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</si>
  <si>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</si>
  <si>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</si>
  <si>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</si>
  <si>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</si>
  <si>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</si>
  <si>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</si>
  <si>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</si>
  <si>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</si>
  <si>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</si>
  <si>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</si>
  <si>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</si>
  <si>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</si>
  <si>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</si>
  <si>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</si>
  <si>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</si>
  <si>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</si>
  <si>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</si>
  <si>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</si>
  <si>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</si>
  <si>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</si>
  <si>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</si>
  <si>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</si>
  <si>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</si>
  <si>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</si>
  <si>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</si>
  <si>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</si>
  <si>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</si>
  <si>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</si>
  <si>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</si>
  <si>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</si>
  <si>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</si>
  <si>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</si>
  <si>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</si>
  <si>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</si>
  <si>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</si>
  <si>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</si>
  <si>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</si>
  <si>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</si>
  <si>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</si>
  <si>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</si>
  <si>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</si>
  <si>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</si>
  <si>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</si>
  <si>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</si>
  <si>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</si>
  <si>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</si>
  <si>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</si>
  <si>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</si>
  <si>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</si>
  <si>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</si>
  <si>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</si>
  <si>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</si>
  <si>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</si>
  <si>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</si>
  <si>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</si>
  <si>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</si>
  <si>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</si>
  <si>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</si>
  <si>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</si>
  <si>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</si>
  <si>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</si>
  <si>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</si>
  <si>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</si>
  <si>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</si>
  <si>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</si>
  <si>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</si>
  <si>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</si>
  <si>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</si>
  <si>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</si>
  <si>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</si>
  <si>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</si>
  <si>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</si>
  <si>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</si>
  <si>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</si>
  <si>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</si>
  <si>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</si>
  <si>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</si>
  <si>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</si>
  <si>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</si>
  <si>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</si>
  <si>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</si>
  <si>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</si>
  <si>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</si>
  <si>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</si>
  <si>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</si>
  <si>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</si>
  <si>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</si>
  <si>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</si>
  <si>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</si>
  <si>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</si>
  <si>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</si>
  <si>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</si>
  <si>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</si>
  <si>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</si>
  <si>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</si>
  <si>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</si>
  <si>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</si>
  <si>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</si>
  <si>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</si>
  <si>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</si>
  <si>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</si>
  <si>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</si>
  <si>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</si>
  <si>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</si>
  <si>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</si>
  <si>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</si>
  <si>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</si>
  <si>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</si>
  <si>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</si>
  <si>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</si>
  <si>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</si>
  <si>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</si>
  <si>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</si>
  <si>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</si>
  <si>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</si>
  <si>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</si>
  <si>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</si>
  <si>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</si>
  <si>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</si>
  <si>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</si>
  <si>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</si>
  <si>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</si>
  <si>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</si>
  <si>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</si>
  <si>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</si>
  <si>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</si>
  <si>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</si>
  <si>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</si>
  <si>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</si>
  <si>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</si>
  <si>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</si>
  <si>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</si>
  <si>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</si>
  <si>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</si>
  <si>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</si>
  <si>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</si>
  <si>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</si>
  <si>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</si>
  <si>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</si>
  <si>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</si>
  <si>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</si>
  <si>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</si>
  <si>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</si>
  <si>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</si>
  <si>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</si>
  <si>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</si>
  <si>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</si>
  <si>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</si>
  <si>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</si>
  <si>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</si>
  <si>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</si>
  <si>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</si>
  <si>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</si>
  <si>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</si>
  <si>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</si>
  <si>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</si>
  <si>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</si>
  <si>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</si>
  <si>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</si>
  <si>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</si>
  <si>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</si>
  <si>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</si>
  <si>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</si>
  <si>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</si>
  <si>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</si>
  <si>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</si>
  <si>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</si>
  <si>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</si>
  <si>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</si>
  <si>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</si>
  <si>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</si>
  <si>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</si>
  <si>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</si>
  <si>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</si>
  <si>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</si>
  <si>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</si>
  <si>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</si>
  <si>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</si>
  <si>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</si>
  <si>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</si>
  <si>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</si>
  <si>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</si>
  <si>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</si>
  <si>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</si>
  <si>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</si>
  <si>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</si>
  <si>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</si>
  <si>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</si>
  <si>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</si>
  <si>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</si>
  <si>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</si>
  <si>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</si>
  <si>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</si>
  <si>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</si>
  <si>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</si>
  <si>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</si>
  <si>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</si>
  <si>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</si>
  <si>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</si>
  <si>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</si>
  <si>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</si>
  <si>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</si>
  <si>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</si>
  <si>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</si>
  <si>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</si>
  <si>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</si>
  <si>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</si>
  <si>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</si>
  <si>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</si>
  <si>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</si>
  <si>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</si>
  <si>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</si>
  <si>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</si>
  <si>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</si>
  <si>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</si>
  <si>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</si>
  <si>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</si>
  <si>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</si>
  <si>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</si>
  <si>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</si>
  <si>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</si>
  <si>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</si>
  <si>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</si>
  <si>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</si>
  <si>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</si>
  <si>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</si>
  <si>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</si>
  <si>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</si>
  <si>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</si>
  <si>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</si>
  <si>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</si>
  <si>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</si>
  <si>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</si>
  <si>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</si>
  <si>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</si>
  <si>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</si>
  <si>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</si>
  <si>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</si>
  <si>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</si>
  <si>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</si>
  <si>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</si>
  <si>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</si>
  <si>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</si>
  <si>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</si>
  <si>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</si>
  <si>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</si>
  <si>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</si>
  <si>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</si>
  <si>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</si>
  <si>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</si>
  <si>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</si>
  <si>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</si>
  <si>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</si>
  <si>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</si>
  <si>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</si>
  <si>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</si>
  <si>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</si>
  <si>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</si>
  <si>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</si>
  <si>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</si>
  <si>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</si>
  <si>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</si>
  <si>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</si>
  <si>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</si>
  <si>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</si>
  <si>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</si>
  <si>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</si>
  <si>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</si>
  <si>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LINDE </t>
  </si>
  <si>
    <t>111111111-1</t>
  </si>
  <si>
    <t>Cristian Espinoza</t>
  </si>
  <si>
    <t>cristian.espinoza@linde.cl</t>
  </si>
  <si>
    <t>global</t>
  </si>
  <si>
    <t>Elementos</t>
  </si>
  <si>
    <t xml:space="preserve">FRL </t>
  </si>
  <si>
    <t>revision de valvulas de aire y gaua</t>
  </si>
  <si>
    <t>MENSUAL</t>
  </si>
  <si>
    <t>TRIMESTRAL</t>
  </si>
  <si>
    <t>SEMESTRAL</t>
  </si>
  <si>
    <t>ANUAL</t>
  </si>
  <si>
    <t>X</t>
  </si>
  <si>
    <t xml:space="preserve">Electrovalvula </t>
  </si>
  <si>
    <t>Bomba</t>
  </si>
  <si>
    <t>Cabezal</t>
  </si>
  <si>
    <t>Transductor</t>
  </si>
  <si>
    <t>Acoples hidraulicos</t>
  </si>
  <si>
    <t>Revision manifold valvulas</t>
  </si>
  <si>
    <t>Balanza</t>
  </si>
  <si>
    <t>Cambio  de tubing y conectores</t>
  </si>
  <si>
    <t>Cambio  de tuberia inox y conectores</t>
  </si>
  <si>
    <t>Contempla revisión de elementos , reaprite</t>
  </si>
  <si>
    <t>Contempla revisión de elementos , reaprite y cambio de elementos de sello (tubing )</t>
  </si>
  <si>
    <t>x</t>
  </si>
  <si>
    <t>M ( MENSUAL)</t>
  </si>
  <si>
    <t>T (TRIMESTRAL)</t>
  </si>
  <si>
    <t>S (SEMESTRAL)</t>
  </si>
  <si>
    <t>A (ANUAL)</t>
  </si>
  <si>
    <t xml:space="preserve">Revision y cambio de sistema </t>
  </si>
  <si>
    <t>PERIODO</t>
  </si>
  <si>
    <t xml:space="preserve">Evaluacion de filtro </t>
  </si>
  <si>
    <t>Revision de señales y funcionamiento</t>
  </si>
  <si>
    <t>Equipo hidraulico</t>
  </si>
  <si>
    <t xml:space="preserve">Revision y calibración </t>
  </si>
  <si>
    <t>Revision de switch</t>
  </si>
  <si>
    <t>Instrumentos de medicion</t>
  </si>
  <si>
    <t>Descripcion</t>
  </si>
  <si>
    <t>Revision y evaluacion</t>
  </si>
  <si>
    <t>Tubing</t>
  </si>
  <si>
    <t>Servicio de mantencion mensual de equipo hidraulico</t>
  </si>
  <si>
    <t>Reapriete de conexiones y evaluacion de elemento</t>
  </si>
  <si>
    <t>Cambio de equipos</t>
  </si>
  <si>
    <t>Evaluacion de cambio de equipos</t>
  </si>
  <si>
    <t>Servicio de mantencion anual de equipo hidraulico</t>
  </si>
  <si>
    <t>Evaluación de goma exterior y otros elementos</t>
  </si>
  <si>
    <t>Revision y cambio de tubing</t>
  </si>
  <si>
    <t>Valvulas solenoides</t>
  </si>
  <si>
    <t>(Programa de mantencion adjunto)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</si>
</sst>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7" xfId="0" applyFont="1" applyFill="1" applyBorder="1" applyAlignment="1" applyProtection="1">
      <alignment horizontal="right" vertical="center"/>
      <protection locked="0"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28" xfId="0" applyNumberFormat="1" applyFont="1" applyFill="1" applyBorder="1" applyAlignment="1" applyProtection="1">
      <alignment horizontal="right" vertical="center"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/>
      <protection locked="0"/>
    </xf>
    <xf numFmtId="0" fontId="50" fillId="33" borderId="30" xfId="0" applyFont="1" applyFill="1" applyBorder="1" applyAlignment="1" applyProtection="1">
      <alignment horizontal="right" vertical="center"/>
      <protection locked="0"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0" fontId="51" fillId="33" borderId="15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4" fillId="33" borderId="14" xfId="0" applyNumberFormat="1" applyFont="1" applyFill="1" applyBorder="1" applyAlignment="1" applyProtection="1">
      <alignment horizontal="center"/>
      <protection locked="0"/>
    </xf>
    <xf numFmtId="0" fontId="37" fillId="0" borderId="0" xfId="45" applyAlignment="1">
      <alignment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9" xfId="0" applyNumberFormat="1" applyFont="1" applyFill="1" applyBorder="1" applyAlignment="1" applyProtection="1">
      <alignment horizontal="left" vertical="center"/>
      <protection locked="0"/>
    </xf>
    <xf numFmtId="0" fontId="27" fillId="0" borderId="31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32" xfId="0" applyFont="1" applyBorder="1" applyAlignment="1" applyProtection="1">
      <alignment horizontal="center"/>
      <protection locked="0"/>
    </xf>
    <xf numFmtId="0" fontId="27" fillId="0" borderId="33" xfId="0" applyFont="1" applyBorder="1" applyAlignment="1" applyProtection="1">
      <alignment horizontal="center"/>
      <protection locked="0"/>
    </xf>
    <xf numFmtId="0" fontId="27" fillId="0" borderId="34" xfId="0" applyFont="1" applyBorder="1" applyAlignment="1" applyProtection="1">
      <alignment horizontal="center"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31" xfId="0" applyFont="1" applyFill="1" applyBorder="1" applyAlignment="1" applyProtection="1">
      <alignment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27" fillId="33" borderId="26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7" fillId="33" borderId="29" xfId="0" applyFont="1" applyFill="1" applyBorder="1" applyAlignment="1" applyProtection="1">
      <alignment/>
      <protection locked="0"/>
    </xf>
    <xf numFmtId="3" fontId="27" fillId="33" borderId="31" xfId="0" applyNumberFormat="1" applyFont="1" applyFill="1" applyBorder="1" applyAlignment="1" applyProtection="1">
      <alignment horizontal="center"/>
      <protection/>
    </xf>
    <xf numFmtId="3" fontId="27" fillId="33" borderId="12" xfId="0" applyNumberFormat="1" applyFont="1" applyFill="1" applyBorder="1" applyAlignment="1" applyProtection="1">
      <alignment horizontal="center"/>
      <protection/>
    </xf>
    <xf numFmtId="3" fontId="27" fillId="33" borderId="26" xfId="0" applyNumberFormat="1" applyFont="1" applyFill="1" applyBorder="1" applyAlignment="1" applyProtection="1">
      <alignment horizontal="center"/>
      <protection/>
    </xf>
    <xf numFmtId="3" fontId="50" fillId="33" borderId="26" xfId="0" applyNumberFormat="1" applyFont="1" applyFill="1" applyBorder="1" applyAlignment="1" applyProtection="1">
      <alignment horizontal="center"/>
      <protection/>
    </xf>
    <xf numFmtId="3" fontId="50" fillId="33" borderId="15" xfId="0" applyNumberFormat="1" applyFont="1" applyFill="1" applyBorder="1" applyAlignment="1" applyProtection="1">
      <alignment horizontal="center"/>
      <protection/>
    </xf>
    <xf numFmtId="3" fontId="50" fillId="33" borderId="11" xfId="0" applyNumberFormat="1" applyFont="1" applyFill="1" applyBorder="1" applyAlignment="1" applyProtection="1">
      <alignment horizontal="right" vertical="center"/>
      <protection locked="0"/>
    </xf>
    <xf numFmtId="3" fontId="50" fillId="33" borderId="33" xfId="0" applyNumberFormat="1" applyFont="1" applyFill="1" applyBorder="1" applyAlignment="1" applyProtection="1">
      <alignment horizontal="right"/>
      <protection locked="0"/>
    </xf>
    <xf numFmtId="3" fontId="50" fillId="33" borderId="34" xfId="0" applyNumberFormat="1" applyFont="1" applyFill="1" applyBorder="1" applyAlignment="1" applyProtection="1">
      <alignment horizontal="center"/>
      <protection/>
    </xf>
    <xf numFmtId="3" fontId="50" fillId="33" borderId="0" xfId="0" applyNumberFormat="1" applyFont="1" applyFill="1" applyBorder="1" applyAlignment="1" applyProtection="1">
      <alignment horizontal="right" vertical="center"/>
      <protection locked="0"/>
    </xf>
    <xf numFmtId="3" fontId="50" fillId="33" borderId="19" xfId="0" applyNumberFormat="1" applyFont="1" applyFill="1" applyBorder="1" applyAlignment="1" applyProtection="1">
      <alignment horizontal="center" vertical="center"/>
      <protection locked="0"/>
    </xf>
    <xf numFmtId="3" fontId="50" fillId="33" borderId="35" xfId="0" applyNumberFormat="1" applyFont="1" applyFill="1" applyBorder="1" applyAlignment="1" applyProtection="1">
      <alignment horizontal="center"/>
      <protection/>
    </xf>
    <xf numFmtId="3" fontId="50" fillId="33" borderId="19" xfId="0" applyNumberFormat="1" applyFont="1" applyFill="1" applyBorder="1" applyAlignment="1" applyProtection="1">
      <alignment horizontal="right"/>
      <protection locked="0"/>
    </xf>
    <xf numFmtId="3" fontId="50" fillId="33" borderId="24" xfId="0" applyNumberFormat="1" applyFont="1" applyFill="1" applyBorder="1" applyAlignment="1" applyProtection="1">
      <alignment horizontal="right" vertical="center"/>
      <protection locked="0"/>
    </xf>
    <xf numFmtId="3" fontId="50" fillId="33" borderId="36" xfId="0" applyNumberFormat="1" applyFont="1" applyFill="1" applyBorder="1" applyAlignment="1" applyProtection="1">
      <alignment horizontal="right"/>
      <protection locked="0"/>
    </xf>
    <xf numFmtId="3" fontId="50" fillId="33" borderId="37" xfId="0" applyNumberFormat="1" applyFont="1" applyFill="1" applyBorder="1" applyAlignment="1" applyProtection="1">
      <alignment horizontal="center"/>
      <protection/>
    </xf>
    <xf numFmtId="3" fontId="54" fillId="33" borderId="31" xfId="0" applyNumberFormat="1" applyFont="1" applyFill="1" applyBorder="1" applyAlignment="1" applyProtection="1">
      <alignment horizontal="center"/>
      <protection locked="0"/>
    </xf>
    <xf numFmtId="3" fontId="54" fillId="33" borderId="26" xfId="0" applyNumberFormat="1" applyFont="1" applyFill="1" applyBorder="1" applyAlignment="1" applyProtection="1">
      <alignment horizontal="center"/>
      <protection locked="0"/>
    </xf>
    <xf numFmtId="3" fontId="54" fillId="33" borderId="26" xfId="0" applyNumberFormat="1" applyFont="1" applyFill="1" applyBorder="1" applyAlignment="1" applyProtection="1">
      <alignment horizontal="center"/>
      <protection/>
    </xf>
    <xf numFmtId="3" fontId="54" fillId="33" borderId="15" xfId="0" applyNumberFormat="1" applyFont="1" applyFill="1" applyBorder="1" applyAlignment="1" applyProtection="1">
      <alignment horizontal="center"/>
      <protection/>
    </xf>
    <xf numFmtId="3" fontId="54" fillId="33" borderId="38" xfId="0" applyNumberFormat="1" applyFont="1" applyFill="1" applyBorder="1" applyAlignment="1" applyProtection="1">
      <alignment horizontal="center"/>
      <protection/>
    </xf>
    <xf numFmtId="3" fontId="54" fillId="33" borderId="38" xfId="0" applyNumberFormat="1" applyFont="1" applyFill="1" applyBorder="1" applyAlignment="1" applyProtection="1">
      <alignment horizontal="center"/>
      <protection locked="0"/>
    </xf>
    <xf numFmtId="3" fontId="54" fillId="33" borderId="29" xfId="0" applyNumberFormat="1" applyFont="1" applyFill="1" applyBorder="1" applyAlignment="1" applyProtection="1">
      <alignment horizontal="center"/>
      <protection/>
    </xf>
    <xf numFmtId="3" fontId="49" fillId="0" borderId="0" xfId="0" applyNumberFormat="1" applyFont="1" applyAlignment="1" applyProtection="1">
      <alignment/>
      <protection locked="0"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3" fontId="49" fillId="0" borderId="0" xfId="0" applyNumberFormat="1" applyFont="1" applyBorder="1" applyAlignment="1" applyProtection="1">
      <alignment/>
      <protection locked="0"/>
    </xf>
    <xf numFmtId="3" fontId="27" fillId="33" borderId="26" xfId="0" applyNumberFormat="1" applyFont="1" applyFill="1" applyBorder="1" applyAlignment="1" applyProtection="1">
      <alignment horizontal="center"/>
      <protection locked="0"/>
    </xf>
    <xf numFmtId="3" fontId="27" fillId="33" borderId="15" xfId="0" applyNumberFormat="1" applyFont="1" applyFill="1" applyBorder="1" applyAlignment="1" applyProtection="1">
      <alignment horizontal="center"/>
      <protection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3" fontId="50" fillId="33" borderId="3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411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12</xdr:row>
      <xdr:rowOff>123825</xdr:rowOff>
    </xdr:from>
    <xdr:to>
      <xdr:col>4</xdr:col>
      <xdr:colOff>762000</xdr:colOff>
      <xdr:row>22</xdr:row>
      <xdr:rowOff>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971550" y="2933700"/>
          <a:ext cx="2314575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Contempla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 Una  visita mensual de 2 horas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 Dos visitas de emergencia dentro del horario 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8:00 a   18:00 hrs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- Sin costo hasta 2 horas. (incluyendo tiempo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de viaje)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- Para tiempo superior a las 2 horas la  tarifa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será  de $  14.500/hr + IVA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 Ajuste, revisión y reaprietes de elementos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electricos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 Evaluacion de cambio de elementos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 Instalación y cambio de elementos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Revision mensuall, trimestral y semestal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comtempla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* Sumnistro de equipos y elementos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411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12</xdr:row>
      <xdr:rowOff>123825</xdr:rowOff>
    </xdr:from>
    <xdr:to>
      <xdr:col>4</xdr:col>
      <xdr:colOff>762000</xdr:colOff>
      <xdr:row>22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71550" y="2933700"/>
          <a:ext cx="2314575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Contempla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 Una  visita mensual de 2 horas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 Dos visitas de emergencia dentro del horario 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8:00 a   18:00 hrs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- Sin costo hasta 2 horas. (incluyendo tiempo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de viaje)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- Para tiempo superior a las 2 horas la  tarifa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será  de $  14.500/hr + IVA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 Ajuste, revisión y reaprietes de elementos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electricos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 Evaluacion de cambio de elementos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 Instalación y cambio de elementos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Revision mensuall, trimestral y semestal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comtempla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* Sumnistro de equipos y elementos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2</xdr:col>
      <xdr:colOff>76200</xdr:colOff>
      <xdr:row>23</xdr:row>
      <xdr:rowOff>123825</xdr:rowOff>
    </xdr:from>
    <xdr:to>
      <xdr:col>4</xdr:col>
      <xdr:colOff>800100</xdr:colOff>
      <xdr:row>33</xdr:row>
      <xdr:rowOff>38100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009650" y="5029200"/>
          <a:ext cx="2314575" cy="1819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Contempla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 Ajuste, revisión y reaprietes de elementos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electricos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 Evaluacion y cambio de elementos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 Instalación y cambio de elementos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Cambio de elemantos en equipo y cabezal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tales   como: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Electrovalvulas ,  tubing , switch 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comtempla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* Cambio de bomba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4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466725</xdr:colOff>
      <xdr:row>4</xdr:row>
      <xdr:rowOff>171450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1447800" y="0"/>
          <a:ext cx="411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ristian.espinoza@linde.c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40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12.5742187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14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4">
        <v>1498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59" t="s">
        <v>6</v>
      </c>
      <c r="C4" s="60"/>
      <c r="D4" s="61" t="s">
        <v>581</v>
      </c>
      <c r="E4" s="60" t="s">
        <v>12</v>
      </c>
      <c r="F4" s="62"/>
      <c r="G4" s="62"/>
      <c r="H4" s="63"/>
      <c r="I4" s="60" t="s">
        <v>9</v>
      </c>
      <c r="J4" s="64">
        <f>VLOOKUP(D4,CLIENTES,10,FALSE)</f>
        <v>71079473</v>
      </c>
      <c r="K4" s="20"/>
    </row>
    <row r="5" spans="2:11" ht="15">
      <c r="B5" s="65"/>
      <c r="C5" s="66"/>
      <c r="D5" s="67"/>
      <c r="E5" s="144">
        <f>VLOOKUP(D4,CLIENTES,4,FALSE)</f>
        <v>0</v>
      </c>
      <c r="F5" s="144"/>
      <c r="G5" s="144"/>
      <c r="H5" s="144"/>
      <c r="I5" s="144"/>
      <c r="J5" s="145"/>
      <c r="K5" s="20"/>
    </row>
    <row r="6" spans="2:10" ht="17.25" customHeight="1">
      <c r="B6" s="65" t="s">
        <v>27</v>
      </c>
      <c r="C6" s="66"/>
      <c r="D6" s="68" t="str">
        <f>VLOOKUP(D4,CLIENTES,2,FALSE)</f>
        <v>LINDE </v>
      </c>
      <c r="E6" s="66" t="s">
        <v>7</v>
      </c>
      <c r="F6" s="144">
        <f>VLOOKUP(D4,CLIENTES,5,FALSE)</f>
        <v>0</v>
      </c>
      <c r="G6" s="144"/>
      <c r="H6" s="144"/>
      <c r="I6" s="69" t="str">
        <f>VLOOKUP(D4,CLIENTES,11,FALSE)</f>
        <v>cristian.espinoza@linde.cl</v>
      </c>
      <c r="J6" s="70"/>
    </row>
    <row r="7" spans="2:10" ht="15">
      <c r="B7" s="65" t="s">
        <v>25</v>
      </c>
      <c r="C7" s="66"/>
      <c r="D7" s="68">
        <f>VLOOKUP(D4,CLIENTES,3,FALSE)</f>
        <v>0</v>
      </c>
      <c r="E7" s="66" t="s">
        <v>8</v>
      </c>
      <c r="F7" s="144">
        <f>VLOOKUP(D4,CLIENTES,6,FALSE)</f>
        <v>0</v>
      </c>
      <c r="G7" s="144"/>
      <c r="H7" s="144"/>
      <c r="I7" s="66" t="s">
        <v>26</v>
      </c>
      <c r="J7" s="71" t="str">
        <f>VLOOKUP(D4,CLIENTES,8,FALSE)</f>
        <v>Cristian Espinoza</v>
      </c>
    </row>
    <row r="8" spans="2:12" ht="15.75" thickBot="1">
      <c r="B8" s="136" t="s">
        <v>28</v>
      </c>
      <c r="C8" s="143"/>
      <c r="D8" s="68">
        <f>VLOOKUP(D4,CLIENTES,7,FALSE)</f>
        <v>0</v>
      </c>
      <c r="E8" s="66" t="s">
        <v>11</v>
      </c>
      <c r="F8" s="144">
        <f>VLOOKUP(D4,CLIENTES,12,FALSE)</f>
        <v>0</v>
      </c>
      <c r="G8" s="144"/>
      <c r="H8" s="144"/>
      <c r="I8" s="66" t="s">
        <v>14</v>
      </c>
      <c r="J8" s="72">
        <f ca="1">TODAY()</f>
        <v>41956</v>
      </c>
      <c r="K8" s="20"/>
      <c r="L8" s="20"/>
    </row>
    <row r="9" spans="2:18" ht="16.5" thickBot="1" thickTop="1">
      <c r="B9" s="73"/>
      <c r="C9" s="74"/>
      <c r="D9" s="75"/>
      <c r="E9" s="74"/>
      <c r="F9" s="75"/>
      <c r="G9" s="75"/>
      <c r="H9" s="75"/>
      <c r="I9" s="74"/>
      <c r="J9" s="76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77" t="s">
        <v>1</v>
      </c>
      <c r="C10" s="139" t="s">
        <v>24</v>
      </c>
      <c r="D10" s="140"/>
      <c r="E10" s="141"/>
      <c r="F10" s="78" t="s">
        <v>0</v>
      </c>
      <c r="G10" s="79" t="s">
        <v>23</v>
      </c>
      <c r="H10" s="79" t="s">
        <v>15</v>
      </c>
      <c r="I10" s="80" t="s">
        <v>13</v>
      </c>
      <c r="J10" s="81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2">
        <v>1</v>
      </c>
      <c r="C11" s="142" t="s">
        <v>620</v>
      </c>
      <c r="D11" s="140"/>
      <c r="E11" s="141"/>
      <c r="F11" s="83">
        <v>1</v>
      </c>
      <c r="G11" s="84" t="s">
        <v>584</v>
      </c>
      <c r="H11" s="94">
        <f>VLOOKUP(B11,COTIZADO,8,FALSE)</f>
        <v>735000</v>
      </c>
      <c r="I11" s="152">
        <v>10</v>
      </c>
      <c r="J11" s="95">
        <f aca="true" t="shared" si="0" ref="J11:J19">F11*H11*(1-I11/100)</f>
        <v>661500</v>
      </c>
      <c r="K11" s="28">
        <v>1</v>
      </c>
      <c r="L11" s="116">
        <v>735000</v>
      </c>
      <c r="M11" s="29"/>
      <c r="N11" s="29"/>
      <c r="O11" s="29"/>
      <c r="P11" s="30">
        <v>1</v>
      </c>
      <c r="Q11" s="31">
        <f>+L11</f>
        <v>735000</v>
      </c>
      <c r="R11" s="35">
        <f>Q11*P11</f>
        <v>735000</v>
      </c>
    </row>
    <row r="12" spans="2:18" ht="15">
      <c r="B12" s="85"/>
      <c r="C12" s="136" t="s">
        <v>628</v>
      </c>
      <c r="D12" s="137"/>
      <c r="E12" s="138"/>
      <c r="F12" s="86"/>
      <c r="G12" s="87"/>
      <c r="H12" s="111"/>
      <c r="I12" s="110">
        <v>0</v>
      </c>
      <c r="J12" s="112">
        <f t="shared" si="0"/>
        <v>0</v>
      </c>
      <c r="K12" s="28">
        <v>2</v>
      </c>
      <c r="L12" s="116"/>
      <c r="M12" s="29"/>
      <c r="N12" s="29"/>
      <c r="O12" s="29"/>
      <c r="P12" s="30">
        <v>1.7</v>
      </c>
      <c r="Q12" s="31"/>
      <c r="R12" s="35">
        <f aca="true" t="shared" si="1" ref="R12:R35">Q12*P12</f>
        <v>0</v>
      </c>
    </row>
    <row r="13" spans="2:18" ht="15">
      <c r="B13" s="57">
        <v>3</v>
      </c>
      <c r="C13" s="136"/>
      <c r="D13" s="137"/>
      <c r="E13" s="138"/>
      <c r="F13" s="55"/>
      <c r="G13" s="41"/>
      <c r="H13" s="111">
        <f aca="true" t="shared" si="2" ref="H13:H19">VLOOKUP(B13,COTIZADO,8,FALSE)</f>
        <v>0</v>
      </c>
      <c r="I13" s="110">
        <v>0</v>
      </c>
      <c r="J13" s="112">
        <f t="shared" si="0"/>
        <v>0</v>
      </c>
      <c r="K13" s="28">
        <v>3</v>
      </c>
      <c r="L13" s="116"/>
      <c r="M13" s="29"/>
      <c r="N13" s="29"/>
      <c r="O13" s="29"/>
      <c r="P13" s="30">
        <v>1.7</v>
      </c>
      <c r="Q13" s="31"/>
      <c r="R13" s="35">
        <f t="shared" si="1"/>
        <v>0</v>
      </c>
    </row>
    <row r="14" spans="2:18" ht="15">
      <c r="B14" s="57">
        <v>4</v>
      </c>
      <c r="C14" s="136"/>
      <c r="D14" s="137"/>
      <c r="E14" s="138"/>
      <c r="F14" s="55"/>
      <c r="G14" s="41"/>
      <c r="H14" s="111">
        <f t="shared" si="2"/>
        <v>0</v>
      </c>
      <c r="I14" s="110">
        <v>0</v>
      </c>
      <c r="J14" s="112">
        <f t="shared" si="0"/>
        <v>0</v>
      </c>
      <c r="K14" s="28">
        <v>4</v>
      </c>
      <c r="L14" s="116"/>
      <c r="M14" s="29"/>
      <c r="N14" s="29"/>
      <c r="O14" s="29"/>
      <c r="P14" s="30">
        <v>1.7</v>
      </c>
      <c r="Q14" s="31"/>
      <c r="R14" s="35">
        <f t="shared" si="1"/>
        <v>0</v>
      </c>
    </row>
    <row r="15" spans="2:18" ht="15">
      <c r="B15" s="57">
        <v>5</v>
      </c>
      <c r="C15" s="136"/>
      <c r="D15" s="137"/>
      <c r="E15" s="138"/>
      <c r="F15" s="55"/>
      <c r="G15" s="41"/>
      <c r="H15" s="111">
        <f t="shared" si="2"/>
        <v>0</v>
      </c>
      <c r="I15" s="110">
        <v>0</v>
      </c>
      <c r="J15" s="112">
        <f t="shared" si="0"/>
        <v>0</v>
      </c>
      <c r="K15" s="28">
        <v>5</v>
      </c>
      <c r="L15" s="116"/>
      <c r="M15" s="29"/>
      <c r="N15" s="29"/>
      <c r="O15" s="29"/>
      <c r="P15" s="30">
        <v>1.7</v>
      </c>
      <c r="Q15" s="31"/>
      <c r="R15" s="35">
        <f t="shared" si="1"/>
        <v>0</v>
      </c>
    </row>
    <row r="16" spans="2:18" ht="15">
      <c r="B16" s="57">
        <v>6</v>
      </c>
      <c r="C16" s="136"/>
      <c r="D16" s="137"/>
      <c r="E16" s="138"/>
      <c r="F16" s="55"/>
      <c r="G16" s="41"/>
      <c r="H16" s="111">
        <f t="shared" si="2"/>
        <v>0</v>
      </c>
      <c r="I16" s="110">
        <v>0</v>
      </c>
      <c r="J16" s="112">
        <f t="shared" si="0"/>
        <v>0</v>
      </c>
      <c r="K16" s="28">
        <v>6</v>
      </c>
      <c r="L16" s="116"/>
      <c r="M16" s="29"/>
      <c r="N16" s="29"/>
      <c r="O16" s="29"/>
      <c r="P16" s="30">
        <v>1.7</v>
      </c>
      <c r="Q16" s="31"/>
      <c r="R16" s="35">
        <f t="shared" si="1"/>
        <v>0</v>
      </c>
    </row>
    <row r="17" spans="2:18" ht="15">
      <c r="B17" s="57">
        <v>7</v>
      </c>
      <c r="C17" s="136"/>
      <c r="D17" s="137"/>
      <c r="E17" s="138"/>
      <c r="F17" s="55"/>
      <c r="G17" s="41"/>
      <c r="H17" s="111">
        <f t="shared" si="2"/>
        <v>0</v>
      </c>
      <c r="I17" s="110">
        <v>0</v>
      </c>
      <c r="J17" s="112">
        <f t="shared" si="0"/>
        <v>0</v>
      </c>
      <c r="K17" s="28">
        <v>7</v>
      </c>
      <c r="L17" s="116"/>
      <c r="M17" s="29"/>
      <c r="N17" s="29"/>
      <c r="O17" s="29"/>
      <c r="P17" s="30">
        <v>1.7</v>
      </c>
      <c r="Q17" s="31"/>
      <c r="R17" s="35">
        <f t="shared" si="1"/>
        <v>0</v>
      </c>
    </row>
    <row r="18" spans="2:18" ht="15">
      <c r="B18" s="57">
        <v>8</v>
      </c>
      <c r="C18" s="136"/>
      <c r="D18" s="137"/>
      <c r="E18" s="138"/>
      <c r="F18" s="55"/>
      <c r="G18" s="41"/>
      <c r="H18" s="111">
        <f t="shared" si="2"/>
        <v>0</v>
      </c>
      <c r="I18" s="110">
        <v>0</v>
      </c>
      <c r="J18" s="112">
        <f t="shared" si="0"/>
        <v>0</v>
      </c>
      <c r="K18" s="28">
        <v>8</v>
      </c>
      <c r="L18" s="116"/>
      <c r="M18" s="29"/>
      <c r="N18" s="29"/>
      <c r="O18" s="29"/>
      <c r="P18" s="30">
        <v>1.7</v>
      </c>
      <c r="Q18" s="31"/>
      <c r="R18" s="35">
        <f t="shared" si="1"/>
        <v>0</v>
      </c>
    </row>
    <row r="19" spans="2:18" ht="15">
      <c r="B19" s="57">
        <v>9</v>
      </c>
      <c r="C19" s="136"/>
      <c r="D19" s="137"/>
      <c r="E19" s="138"/>
      <c r="F19" s="55"/>
      <c r="G19" s="87"/>
      <c r="H19" s="111">
        <f t="shared" si="2"/>
        <v>0</v>
      </c>
      <c r="I19" s="110">
        <v>0</v>
      </c>
      <c r="J19" s="112">
        <f t="shared" si="0"/>
        <v>0</v>
      </c>
      <c r="K19" s="28">
        <v>9</v>
      </c>
      <c r="L19" s="116"/>
      <c r="M19" s="29"/>
      <c r="N19" s="29"/>
      <c r="O19" s="29"/>
      <c r="P19" s="30">
        <v>1</v>
      </c>
      <c r="Q19" s="31"/>
      <c r="R19" s="35">
        <f t="shared" si="1"/>
        <v>0</v>
      </c>
    </row>
    <row r="20" spans="2:18" ht="15">
      <c r="B20" s="85"/>
      <c r="C20" s="136"/>
      <c r="D20" s="137"/>
      <c r="E20" s="138"/>
      <c r="F20" s="86"/>
      <c r="G20" s="87"/>
      <c r="H20" s="97"/>
      <c r="I20" s="110"/>
      <c r="J20" s="98"/>
      <c r="K20" s="28">
        <v>10</v>
      </c>
      <c r="L20" s="116"/>
      <c r="M20" s="29"/>
      <c r="N20" s="29"/>
      <c r="O20" s="29"/>
      <c r="P20" s="30">
        <v>1.45</v>
      </c>
      <c r="Q20" s="31">
        <f>+L20</f>
        <v>0</v>
      </c>
      <c r="R20" s="35">
        <f t="shared" si="1"/>
        <v>0</v>
      </c>
    </row>
    <row r="21" spans="2:18" ht="15">
      <c r="B21" s="57"/>
      <c r="C21" s="136"/>
      <c r="D21" s="137"/>
      <c r="E21" s="138"/>
      <c r="F21" s="55"/>
      <c r="G21" s="87"/>
      <c r="H21" s="111"/>
      <c r="I21" s="110"/>
      <c r="J21" s="112"/>
      <c r="K21" s="28">
        <v>11</v>
      </c>
      <c r="L21" s="116"/>
      <c r="M21" s="29"/>
      <c r="N21" s="29"/>
      <c r="O21" s="29"/>
      <c r="P21" s="30">
        <v>1</v>
      </c>
      <c r="Q21" s="31">
        <f>L21</f>
        <v>0</v>
      </c>
      <c r="R21" s="35">
        <f t="shared" si="1"/>
        <v>0</v>
      </c>
    </row>
    <row r="22" spans="2:18" ht="15">
      <c r="B22" s="57"/>
      <c r="C22" s="136"/>
      <c r="D22" s="137"/>
      <c r="E22" s="138"/>
      <c r="F22" s="55"/>
      <c r="G22" s="87"/>
      <c r="H22" s="111"/>
      <c r="I22" s="110"/>
      <c r="J22" s="112"/>
      <c r="K22" s="28">
        <v>12</v>
      </c>
      <c r="L22" s="116"/>
      <c r="M22" s="29"/>
      <c r="N22" s="29"/>
      <c r="O22" s="29"/>
      <c r="P22" s="30">
        <v>1.5</v>
      </c>
      <c r="Q22" s="31">
        <f>L22</f>
        <v>0</v>
      </c>
      <c r="R22" s="35">
        <f t="shared" si="1"/>
        <v>0</v>
      </c>
    </row>
    <row r="23" spans="2:18" ht="15">
      <c r="B23" s="85"/>
      <c r="C23" s="136"/>
      <c r="D23" s="137"/>
      <c r="E23" s="138"/>
      <c r="F23" s="86"/>
      <c r="G23" s="87"/>
      <c r="H23" s="96"/>
      <c r="I23" s="134"/>
      <c r="J23" s="135"/>
      <c r="K23" s="28">
        <v>15</v>
      </c>
      <c r="L23" s="116">
        <v>4350000</v>
      </c>
      <c r="M23" s="29"/>
      <c r="N23" s="29"/>
      <c r="O23" s="29"/>
      <c r="P23" s="30">
        <v>1</v>
      </c>
      <c r="Q23" s="133">
        <f>+L23</f>
        <v>4350000</v>
      </c>
      <c r="R23" s="35">
        <f t="shared" si="1"/>
        <v>4350000</v>
      </c>
    </row>
    <row r="24" spans="2:18" ht="15">
      <c r="B24" s="57"/>
      <c r="C24" s="136"/>
      <c r="D24" s="137"/>
      <c r="E24" s="138"/>
      <c r="F24" s="55"/>
      <c r="G24" s="87"/>
      <c r="H24" s="111"/>
      <c r="I24" s="110"/>
      <c r="J24" s="112"/>
      <c r="K24" s="28">
        <v>16</v>
      </c>
      <c r="L24" s="116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57"/>
      <c r="C25" s="88"/>
      <c r="D25" s="89"/>
      <c r="E25" s="90"/>
      <c r="F25" s="55"/>
      <c r="G25" s="87"/>
      <c r="H25" s="111"/>
      <c r="I25" s="110"/>
      <c r="J25" s="112"/>
      <c r="K25" s="28">
        <v>17</v>
      </c>
      <c r="L25" s="116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57"/>
      <c r="C26" s="88"/>
      <c r="D26" s="89"/>
      <c r="E26" s="90"/>
      <c r="F26" s="55"/>
      <c r="G26" s="87"/>
      <c r="H26" s="111"/>
      <c r="I26" s="110"/>
      <c r="J26" s="112"/>
      <c r="K26" s="28"/>
      <c r="L26" s="116"/>
      <c r="M26" s="29"/>
      <c r="N26" s="29"/>
      <c r="O26" s="29"/>
      <c r="P26" s="30"/>
      <c r="Q26" s="31"/>
      <c r="R26" s="35"/>
    </row>
    <row r="27" spans="2:18" ht="15">
      <c r="B27" s="85"/>
      <c r="C27" s="88"/>
      <c r="D27" s="89"/>
      <c r="E27" s="90"/>
      <c r="F27" s="86"/>
      <c r="G27" s="87"/>
      <c r="H27" s="96"/>
      <c r="I27" s="110"/>
      <c r="J27" s="98"/>
      <c r="K27" s="28"/>
      <c r="L27" s="116"/>
      <c r="M27" s="29"/>
      <c r="N27" s="29"/>
      <c r="O27" s="29"/>
      <c r="P27" s="30"/>
      <c r="Q27" s="31"/>
      <c r="R27" s="35"/>
    </row>
    <row r="28" spans="2:18" ht="15">
      <c r="B28" s="57"/>
      <c r="C28" s="88"/>
      <c r="D28" s="89"/>
      <c r="E28" s="90"/>
      <c r="F28" s="55"/>
      <c r="G28" s="87"/>
      <c r="H28" s="111"/>
      <c r="I28" s="110"/>
      <c r="J28" s="112"/>
      <c r="K28" s="28"/>
      <c r="L28" s="29"/>
      <c r="M28" s="29"/>
      <c r="N28" s="29"/>
      <c r="O28" s="29"/>
      <c r="P28" s="30"/>
      <c r="Q28" s="31"/>
      <c r="R28" s="35"/>
    </row>
    <row r="29" spans="2:18" ht="15">
      <c r="B29" s="57"/>
      <c r="C29" s="88"/>
      <c r="D29" s="89"/>
      <c r="E29" s="90"/>
      <c r="F29" s="55"/>
      <c r="G29" s="87"/>
      <c r="H29" s="111"/>
      <c r="I29" s="110"/>
      <c r="J29" s="112"/>
      <c r="K29" s="28"/>
      <c r="L29" s="29"/>
      <c r="M29" s="29"/>
      <c r="N29" s="29"/>
      <c r="O29" s="29"/>
      <c r="P29" s="30"/>
      <c r="Q29" s="31"/>
      <c r="R29" s="35"/>
    </row>
    <row r="30" spans="2:18" ht="15">
      <c r="B30" s="57"/>
      <c r="C30" s="88"/>
      <c r="D30" s="89"/>
      <c r="E30" s="90"/>
      <c r="F30" s="55"/>
      <c r="G30" s="87"/>
      <c r="H30" s="111"/>
      <c r="I30" s="110"/>
      <c r="J30" s="112"/>
      <c r="K30" s="28"/>
      <c r="L30" s="29"/>
      <c r="M30" s="29"/>
      <c r="N30" s="29"/>
      <c r="O30" s="29"/>
      <c r="P30" s="30"/>
      <c r="Q30" s="31"/>
      <c r="R30" s="35"/>
    </row>
    <row r="31" spans="2:18" ht="15">
      <c r="B31" s="57"/>
      <c r="C31" s="88"/>
      <c r="D31" s="89"/>
      <c r="E31" s="90"/>
      <c r="F31" s="55"/>
      <c r="G31" s="87"/>
      <c r="H31" s="111"/>
      <c r="I31" s="110"/>
      <c r="J31" s="112"/>
      <c r="K31" s="28"/>
      <c r="L31" s="29"/>
      <c r="M31" s="29"/>
      <c r="N31" s="29"/>
      <c r="O31" s="29"/>
      <c r="P31" s="30"/>
      <c r="Q31" s="31"/>
      <c r="R31" s="35"/>
    </row>
    <row r="32" spans="2:18" ht="15">
      <c r="B32" s="57"/>
      <c r="C32" s="88"/>
      <c r="D32" s="89"/>
      <c r="E32" s="90"/>
      <c r="F32" s="55"/>
      <c r="G32" s="87"/>
      <c r="H32" s="111"/>
      <c r="I32" s="110"/>
      <c r="J32" s="112"/>
      <c r="K32" s="28"/>
      <c r="L32" s="29"/>
      <c r="M32" s="29"/>
      <c r="N32" s="29"/>
      <c r="O32" s="29"/>
      <c r="P32" s="30"/>
      <c r="Q32" s="31"/>
      <c r="R32" s="35"/>
    </row>
    <row r="33" spans="2:18" ht="15">
      <c r="B33" s="57"/>
      <c r="C33" s="88"/>
      <c r="D33" s="89"/>
      <c r="E33" s="90"/>
      <c r="F33" s="55"/>
      <c r="G33" s="87"/>
      <c r="H33" s="111"/>
      <c r="I33" s="110"/>
      <c r="J33" s="112"/>
      <c r="K33" s="28"/>
      <c r="L33" s="29"/>
      <c r="M33" s="29"/>
      <c r="N33" s="29"/>
      <c r="O33" s="29"/>
      <c r="P33" s="30"/>
      <c r="Q33" s="31"/>
      <c r="R33" s="35"/>
    </row>
    <row r="34" spans="2:18" ht="15">
      <c r="B34" s="57"/>
      <c r="C34" s="88"/>
      <c r="D34" s="89"/>
      <c r="E34" s="90"/>
      <c r="F34" s="55"/>
      <c r="G34" s="41"/>
      <c r="H34" s="111"/>
      <c r="I34" s="110"/>
      <c r="J34" s="112"/>
      <c r="K34" s="28"/>
      <c r="L34" s="29"/>
      <c r="M34" s="29"/>
      <c r="N34" s="29"/>
      <c r="O34" s="29"/>
      <c r="P34" s="30"/>
      <c r="Q34" s="31"/>
      <c r="R34" s="35"/>
    </row>
    <row r="35" spans="2:18" ht="15.75" thickBot="1">
      <c r="B35" s="57">
        <v>18</v>
      </c>
      <c r="C35" s="91"/>
      <c r="D35" s="92"/>
      <c r="E35" s="93"/>
      <c r="F35" s="55"/>
      <c r="G35" s="41"/>
      <c r="H35" s="113">
        <f>VLOOKUP(B35,COTIZADO,8,FALSE)</f>
        <v>0</v>
      </c>
      <c r="I35" s="114">
        <v>0</v>
      </c>
      <c r="J35" s="115">
        <f>F35*H35*(1-I35/100)</f>
        <v>0</v>
      </c>
      <c r="K35" s="28">
        <v>18</v>
      </c>
      <c r="L35" s="29"/>
      <c r="M35" s="29"/>
      <c r="N35" s="29"/>
      <c r="O35" s="29"/>
      <c r="P35" s="32">
        <v>1.5</v>
      </c>
      <c r="Q35" s="33"/>
      <c r="R35" s="35">
        <f t="shared" si="1"/>
        <v>0</v>
      </c>
    </row>
    <row r="36" spans="2:10" ht="15">
      <c r="B36" s="42" t="s">
        <v>17</v>
      </c>
      <c r="C36" s="56"/>
      <c r="D36" s="38"/>
      <c r="E36" s="38"/>
      <c r="F36" s="43"/>
      <c r="G36" s="44" t="s">
        <v>3</v>
      </c>
      <c r="H36" s="99"/>
      <c r="I36" s="100"/>
      <c r="J36" s="101">
        <f>SUM(J11:J35)</f>
        <v>661500</v>
      </c>
    </row>
    <row r="37" spans="2:10" ht="15">
      <c r="B37" s="45"/>
      <c r="C37" s="46"/>
      <c r="D37" s="47"/>
      <c r="E37" s="38"/>
      <c r="F37" s="48"/>
      <c r="G37" s="49" t="s">
        <v>13</v>
      </c>
      <c r="H37" s="102"/>
      <c r="I37" s="103"/>
      <c r="J37" s="104">
        <f>J36*I37</f>
        <v>0</v>
      </c>
    </row>
    <row r="38" spans="2:10" ht="15">
      <c r="B38" s="37"/>
      <c r="C38" s="38"/>
      <c r="D38" s="38"/>
      <c r="E38" s="38"/>
      <c r="F38" s="50"/>
      <c r="G38" s="51" t="s">
        <v>4</v>
      </c>
      <c r="H38" s="102"/>
      <c r="I38" s="105"/>
      <c r="J38" s="104">
        <f>J36-J37</f>
        <v>661500</v>
      </c>
    </row>
    <row r="39" spans="2:10" ht="15">
      <c r="B39" s="37"/>
      <c r="C39" s="38"/>
      <c r="D39" s="38"/>
      <c r="E39" s="38"/>
      <c r="F39" s="48"/>
      <c r="G39" s="49">
        <v>0.19</v>
      </c>
      <c r="H39" s="102"/>
      <c r="I39" s="103">
        <v>0.19</v>
      </c>
      <c r="J39" s="104">
        <f>J38*I39</f>
        <v>125685</v>
      </c>
    </row>
    <row r="40" spans="2:10" ht="15.75" thickBot="1">
      <c r="B40" s="39"/>
      <c r="C40" s="40"/>
      <c r="D40" s="40"/>
      <c r="E40" s="40"/>
      <c r="F40" s="52"/>
      <c r="G40" s="53" t="s">
        <v>2</v>
      </c>
      <c r="H40" s="106"/>
      <c r="I40" s="107"/>
      <c r="J40" s="108">
        <f>J38+J39</f>
        <v>787185</v>
      </c>
    </row>
  </sheetData>
  <sheetProtection formatCells="0"/>
  <mergeCells count="20">
    <mergeCell ref="C13:E13"/>
    <mergeCell ref="C14:E14"/>
    <mergeCell ref="C15:E15"/>
    <mergeCell ref="C16:E16"/>
    <mergeCell ref="C22:E22"/>
    <mergeCell ref="C17:E17"/>
    <mergeCell ref="C18:E18"/>
    <mergeCell ref="C19:E19"/>
    <mergeCell ref="C20:E20"/>
    <mergeCell ref="C21:E21"/>
    <mergeCell ref="C23:E23"/>
    <mergeCell ref="C24:E24"/>
    <mergeCell ref="C10:E10"/>
    <mergeCell ref="C11:E11"/>
    <mergeCell ref="B8:C8"/>
    <mergeCell ref="E5:J5"/>
    <mergeCell ref="F6:H6"/>
    <mergeCell ref="F7:H7"/>
    <mergeCell ref="F8:H8"/>
    <mergeCell ref="C12:E12"/>
  </mergeCells>
  <printOptions/>
  <pageMargins left="0.25" right="0.25" top="0.75" bottom="0.75" header="0.3" footer="0.3"/>
  <pageSetup fitToHeight="1" fitToWidth="1" horizontalDpi="600" verticalDpi="600" orientation="portrait" paperSize="9" scale="98" r:id="rId3"/>
  <ignoredErrors>
    <ignoredError sqref="J38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R40"/>
  <sheetViews>
    <sheetView zoomScalePageLayoutView="0" workbookViewId="0" topLeftCell="A10">
      <selection activeCell="L7" sqref="L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12.5742187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14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4">
        <v>1498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59" t="s">
        <v>6</v>
      </c>
      <c r="C4" s="60"/>
      <c r="D4" s="61" t="s">
        <v>581</v>
      </c>
      <c r="E4" s="60" t="s">
        <v>12</v>
      </c>
      <c r="F4" s="62"/>
      <c r="G4" s="62"/>
      <c r="H4" s="63"/>
      <c r="I4" s="60" t="s">
        <v>9</v>
      </c>
      <c r="J4" s="64">
        <f>VLOOKUP(D4,CLIENTES,10,FALSE)</f>
        <v>71079473</v>
      </c>
      <c r="K4" s="20"/>
    </row>
    <row r="5" spans="2:11" ht="15">
      <c r="B5" s="65"/>
      <c r="C5" s="66"/>
      <c r="D5" s="67"/>
      <c r="E5" s="144">
        <f>VLOOKUP(D4,CLIENTES,4,FALSE)</f>
        <v>0</v>
      </c>
      <c r="F5" s="144"/>
      <c r="G5" s="144"/>
      <c r="H5" s="144"/>
      <c r="I5" s="144"/>
      <c r="J5" s="145"/>
      <c r="K5" s="20"/>
    </row>
    <row r="6" spans="2:10" ht="17.25" customHeight="1">
      <c r="B6" s="65" t="s">
        <v>27</v>
      </c>
      <c r="C6" s="66"/>
      <c r="D6" s="68" t="str">
        <f>VLOOKUP(D4,CLIENTES,2,FALSE)</f>
        <v>LINDE </v>
      </c>
      <c r="E6" s="66" t="s">
        <v>7</v>
      </c>
      <c r="F6" s="144">
        <f>VLOOKUP(D4,CLIENTES,5,FALSE)</f>
        <v>0</v>
      </c>
      <c r="G6" s="144"/>
      <c r="H6" s="144"/>
      <c r="I6" s="69" t="str">
        <f>VLOOKUP(D4,CLIENTES,11,FALSE)</f>
        <v>cristian.espinoza@linde.cl</v>
      </c>
      <c r="J6" s="70"/>
    </row>
    <row r="7" spans="2:10" ht="15">
      <c r="B7" s="65" t="s">
        <v>25</v>
      </c>
      <c r="C7" s="66"/>
      <c r="D7" s="68">
        <f>VLOOKUP(D4,CLIENTES,3,FALSE)</f>
        <v>0</v>
      </c>
      <c r="E7" s="66" t="s">
        <v>8</v>
      </c>
      <c r="F7" s="144">
        <f>VLOOKUP(D4,CLIENTES,6,FALSE)</f>
        <v>0</v>
      </c>
      <c r="G7" s="144"/>
      <c r="H7" s="144"/>
      <c r="I7" s="66" t="s">
        <v>26</v>
      </c>
      <c r="J7" s="117" t="str">
        <f>VLOOKUP(D4,CLIENTES,8,FALSE)</f>
        <v>Cristian Espinoza</v>
      </c>
    </row>
    <row r="8" spans="2:12" ht="15.75" thickBot="1">
      <c r="B8" s="136" t="s">
        <v>28</v>
      </c>
      <c r="C8" s="143"/>
      <c r="D8" s="68">
        <f>VLOOKUP(D4,CLIENTES,7,FALSE)</f>
        <v>0</v>
      </c>
      <c r="E8" s="66" t="s">
        <v>11</v>
      </c>
      <c r="F8" s="144">
        <f>VLOOKUP(D4,CLIENTES,12,FALSE)</f>
        <v>0</v>
      </c>
      <c r="G8" s="144"/>
      <c r="H8" s="144"/>
      <c r="I8" s="66" t="s">
        <v>14</v>
      </c>
      <c r="J8" s="72">
        <f ca="1">TODAY()</f>
        <v>41956</v>
      </c>
      <c r="K8" s="20"/>
      <c r="L8" s="20"/>
    </row>
    <row r="9" spans="2:18" ht="16.5" thickBot="1" thickTop="1">
      <c r="B9" s="73"/>
      <c r="C9" s="74"/>
      <c r="D9" s="75"/>
      <c r="E9" s="74"/>
      <c r="F9" s="75"/>
      <c r="G9" s="75"/>
      <c r="H9" s="75"/>
      <c r="I9" s="74"/>
      <c r="J9" s="76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77" t="s">
        <v>1</v>
      </c>
      <c r="C10" s="139" t="s">
        <v>24</v>
      </c>
      <c r="D10" s="140"/>
      <c r="E10" s="141"/>
      <c r="F10" s="78" t="s">
        <v>0</v>
      </c>
      <c r="G10" s="79" t="s">
        <v>23</v>
      </c>
      <c r="H10" s="79" t="s">
        <v>15</v>
      </c>
      <c r="I10" s="80" t="s">
        <v>13</v>
      </c>
      <c r="J10" s="81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2">
        <v>1</v>
      </c>
      <c r="C11" s="142" t="s">
        <v>620</v>
      </c>
      <c r="D11" s="140"/>
      <c r="E11" s="141"/>
      <c r="F11" s="83">
        <v>1</v>
      </c>
      <c r="G11" s="84" t="s">
        <v>584</v>
      </c>
      <c r="H11" s="94">
        <f>VLOOKUP(B11,COTIZADO,8,FALSE)</f>
        <v>735000</v>
      </c>
      <c r="I11" s="109">
        <v>0</v>
      </c>
      <c r="J11" s="95">
        <f aca="true" t="shared" si="0" ref="J11:J19">F11*H11*(1-I11/100)</f>
        <v>735000</v>
      </c>
      <c r="K11" s="28">
        <v>1</v>
      </c>
      <c r="L11" s="116">
        <v>735000</v>
      </c>
      <c r="M11" s="29"/>
      <c r="N11" s="29"/>
      <c r="O11" s="29"/>
      <c r="P11" s="30">
        <v>1</v>
      </c>
      <c r="Q11" s="31">
        <f>+L11</f>
        <v>735000</v>
      </c>
      <c r="R11" s="35">
        <f>Q11*P11</f>
        <v>735000</v>
      </c>
    </row>
    <row r="12" spans="2:18" ht="15">
      <c r="B12" s="85"/>
      <c r="C12" s="136" t="s">
        <v>628</v>
      </c>
      <c r="D12" s="137"/>
      <c r="E12" s="138"/>
      <c r="F12" s="86"/>
      <c r="G12" s="87"/>
      <c r="H12" s="111"/>
      <c r="I12" s="110">
        <v>0</v>
      </c>
      <c r="J12" s="112">
        <f t="shared" si="0"/>
        <v>0</v>
      </c>
      <c r="K12" s="28">
        <v>2</v>
      </c>
      <c r="L12" s="116"/>
      <c r="M12" s="29"/>
      <c r="N12" s="29"/>
      <c r="O12" s="29"/>
      <c r="P12" s="30">
        <v>1.7</v>
      </c>
      <c r="Q12" s="31"/>
      <c r="R12" s="35">
        <f aca="true" t="shared" si="1" ref="R12:R35">Q12*P12</f>
        <v>0</v>
      </c>
    </row>
    <row r="13" spans="2:18" ht="15">
      <c r="B13" s="57">
        <v>3</v>
      </c>
      <c r="C13" s="136"/>
      <c r="D13" s="137"/>
      <c r="E13" s="138"/>
      <c r="F13" s="55"/>
      <c r="G13" s="41"/>
      <c r="H13" s="111">
        <f aca="true" t="shared" si="2" ref="H13:H19">VLOOKUP(B13,COTIZADO,8,FALSE)</f>
        <v>0</v>
      </c>
      <c r="I13" s="110">
        <v>0</v>
      </c>
      <c r="J13" s="112">
        <f t="shared" si="0"/>
        <v>0</v>
      </c>
      <c r="K13" s="28">
        <v>3</v>
      </c>
      <c r="L13" s="116"/>
      <c r="M13" s="29"/>
      <c r="N13" s="29"/>
      <c r="O13" s="29"/>
      <c r="P13" s="30">
        <v>1.7</v>
      </c>
      <c r="Q13" s="31"/>
      <c r="R13" s="35">
        <f t="shared" si="1"/>
        <v>0</v>
      </c>
    </row>
    <row r="14" spans="2:18" ht="15">
      <c r="B14" s="57">
        <v>4</v>
      </c>
      <c r="C14" s="136"/>
      <c r="D14" s="137"/>
      <c r="E14" s="138"/>
      <c r="F14" s="55"/>
      <c r="G14" s="41"/>
      <c r="H14" s="111">
        <f t="shared" si="2"/>
        <v>0</v>
      </c>
      <c r="I14" s="110">
        <v>0</v>
      </c>
      <c r="J14" s="112">
        <f t="shared" si="0"/>
        <v>0</v>
      </c>
      <c r="K14" s="28">
        <v>4</v>
      </c>
      <c r="L14" s="116"/>
      <c r="M14" s="29"/>
      <c r="N14" s="29"/>
      <c r="O14" s="29"/>
      <c r="P14" s="30">
        <v>1.7</v>
      </c>
      <c r="Q14" s="31"/>
      <c r="R14" s="35">
        <f t="shared" si="1"/>
        <v>0</v>
      </c>
    </row>
    <row r="15" spans="2:18" ht="15">
      <c r="B15" s="57">
        <v>5</v>
      </c>
      <c r="C15" s="136"/>
      <c r="D15" s="137"/>
      <c r="E15" s="138"/>
      <c r="F15" s="55"/>
      <c r="G15" s="41"/>
      <c r="H15" s="111">
        <f t="shared" si="2"/>
        <v>0</v>
      </c>
      <c r="I15" s="110">
        <v>0</v>
      </c>
      <c r="J15" s="112">
        <f t="shared" si="0"/>
        <v>0</v>
      </c>
      <c r="K15" s="28">
        <v>5</v>
      </c>
      <c r="L15" s="116"/>
      <c r="M15" s="29"/>
      <c r="N15" s="29"/>
      <c r="O15" s="29"/>
      <c r="P15" s="30">
        <v>1.7</v>
      </c>
      <c r="Q15" s="31"/>
      <c r="R15" s="35">
        <f t="shared" si="1"/>
        <v>0</v>
      </c>
    </row>
    <row r="16" spans="2:18" ht="15">
      <c r="B16" s="57">
        <v>6</v>
      </c>
      <c r="C16" s="136"/>
      <c r="D16" s="137"/>
      <c r="E16" s="138"/>
      <c r="F16" s="55"/>
      <c r="G16" s="41"/>
      <c r="H16" s="111">
        <f t="shared" si="2"/>
        <v>0</v>
      </c>
      <c r="I16" s="110">
        <v>0</v>
      </c>
      <c r="J16" s="112">
        <f t="shared" si="0"/>
        <v>0</v>
      </c>
      <c r="K16" s="28">
        <v>6</v>
      </c>
      <c r="L16" s="116"/>
      <c r="M16" s="29"/>
      <c r="N16" s="29"/>
      <c r="O16" s="29"/>
      <c r="P16" s="30">
        <v>1.7</v>
      </c>
      <c r="Q16" s="31"/>
      <c r="R16" s="35">
        <f t="shared" si="1"/>
        <v>0</v>
      </c>
    </row>
    <row r="17" spans="2:18" ht="15">
      <c r="B17" s="57">
        <v>7</v>
      </c>
      <c r="C17" s="136"/>
      <c r="D17" s="137"/>
      <c r="E17" s="138"/>
      <c r="F17" s="55"/>
      <c r="G17" s="41"/>
      <c r="H17" s="111">
        <f t="shared" si="2"/>
        <v>0</v>
      </c>
      <c r="I17" s="110">
        <v>0</v>
      </c>
      <c r="J17" s="112">
        <f t="shared" si="0"/>
        <v>0</v>
      </c>
      <c r="K17" s="28">
        <v>7</v>
      </c>
      <c r="L17" s="116"/>
      <c r="M17" s="29"/>
      <c r="N17" s="29"/>
      <c r="O17" s="29"/>
      <c r="P17" s="30">
        <v>1.7</v>
      </c>
      <c r="Q17" s="31"/>
      <c r="R17" s="35">
        <f t="shared" si="1"/>
        <v>0</v>
      </c>
    </row>
    <row r="18" spans="2:18" ht="15">
      <c r="B18" s="57">
        <v>8</v>
      </c>
      <c r="C18" s="136"/>
      <c r="D18" s="137"/>
      <c r="E18" s="138"/>
      <c r="F18" s="55"/>
      <c r="G18" s="41"/>
      <c r="H18" s="111">
        <f t="shared" si="2"/>
        <v>0</v>
      </c>
      <c r="I18" s="110">
        <v>0</v>
      </c>
      <c r="J18" s="112">
        <f t="shared" si="0"/>
        <v>0</v>
      </c>
      <c r="K18" s="28">
        <v>8</v>
      </c>
      <c r="L18" s="116"/>
      <c r="M18" s="29"/>
      <c r="N18" s="29"/>
      <c r="O18" s="29"/>
      <c r="P18" s="30">
        <v>1.7</v>
      </c>
      <c r="Q18" s="31"/>
      <c r="R18" s="35">
        <f t="shared" si="1"/>
        <v>0</v>
      </c>
    </row>
    <row r="19" spans="2:18" ht="15">
      <c r="B19" s="57">
        <v>9</v>
      </c>
      <c r="C19" s="136"/>
      <c r="D19" s="137"/>
      <c r="E19" s="138"/>
      <c r="F19" s="55"/>
      <c r="G19" s="87"/>
      <c r="H19" s="111">
        <f t="shared" si="2"/>
        <v>0</v>
      </c>
      <c r="I19" s="110">
        <v>0</v>
      </c>
      <c r="J19" s="112">
        <f t="shared" si="0"/>
        <v>0</v>
      </c>
      <c r="K19" s="28">
        <v>9</v>
      </c>
      <c r="L19" s="116"/>
      <c r="M19" s="29"/>
      <c r="N19" s="29"/>
      <c r="O19" s="29"/>
      <c r="P19" s="30">
        <v>1</v>
      </c>
      <c r="Q19" s="31"/>
      <c r="R19" s="35">
        <f t="shared" si="1"/>
        <v>0</v>
      </c>
    </row>
    <row r="20" spans="2:18" ht="15">
      <c r="B20" s="85"/>
      <c r="C20" s="136"/>
      <c r="D20" s="137"/>
      <c r="E20" s="138"/>
      <c r="F20" s="86"/>
      <c r="G20" s="87"/>
      <c r="H20" s="97"/>
      <c r="I20" s="110"/>
      <c r="J20" s="98"/>
      <c r="K20" s="28">
        <v>10</v>
      </c>
      <c r="L20" s="116"/>
      <c r="M20" s="29"/>
      <c r="N20" s="29"/>
      <c r="O20" s="29"/>
      <c r="P20" s="30">
        <v>1.45</v>
      </c>
      <c r="Q20" s="31">
        <f>+L20</f>
        <v>0</v>
      </c>
      <c r="R20" s="35">
        <f t="shared" si="1"/>
        <v>0</v>
      </c>
    </row>
    <row r="21" spans="2:18" ht="15">
      <c r="B21" s="57"/>
      <c r="C21" s="136"/>
      <c r="D21" s="137"/>
      <c r="E21" s="138"/>
      <c r="F21" s="55"/>
      <c r="G21" s="87"/>
      <c r="H21" s="111"/>
      <c r="I21" s="110"/>
      <c r="J21" s="112"/>
      <c r="K21" s="28">
        <v>11</v>
      </c>
      <c r="L21" s="116"/>
      <c r="M21" s="29"/>
      <c r="N21" s="29"/>
      <c r="O21" s="29"/>
      <c r="P21" s="30">
        <v>1</v>
      </c>
      <c r="Q21" s="31">
        <f>L21</f>
        <v>0</v>
      </c>
      <c r="R21" s="35">
        <f t="shared" si="1"/>
        <v>0</v>
      </c>
    </row>
    <row r="22" spans="2:18" ht="15">
      <c r="B22" s="57"/>
      <c r="C22" s="136"/>
      <c r="D22" s="137"/>
      <c r="E22" s="138"/>
      <c r="F22" s="55"/>
      <c r="G22" s="87"/>
      <c r="H22" s="111"/>
      <c r="I22" s="110"/>
      <c r="J22" s="112"/>
      <c r="K22" s="28">
        <v>12</v>
      </c>
      <c r="L22" s="116"/>
      <c r="M22" s="29"/>
      <c r="N22" s="29"/>
      <c r="O22" s="29"/>
      <c r="P22" s="30">
        <v>1.5</v>
      </c>
      <c r="Q22" s="31">
        <f>L22</f>
        <v>0</v>
      </c>
      <c r="R22" s="35">
        <f t="shared" si="1"/>
        <v>0</v>
      </c>
    </row>
    <row r="23" spans="2:18" ht="15">
      <c r="B23" s="85">
        <v>2</v>
      </c>
      <c r="C23" s="136" t="s">
        <v>624</v>
      </c>
      <c r="D23" s="137"/>
      <c r="E23" s="138"/>
      <c r="F23" s="86">
        <v>1</v>
      </c>
      <c r="G23" s="87" t="s">
        <v>584</v>
      </c>
      <c r="H23" s="96">
        <f>+L23</f>
        <v>4350000</v>
      </c>
      <c r="I23" s="134"/>
      <c r="J23" s="135">
        <f>+F23*H23</f>
        <v>4350000</v>
      </c>
      <c r="K23" s="28">
        <v>15</v>
      </c>
      <c r="L23" s="116">
        <v>4350000</v>
      </c>
      <c r="M23" s="29"/>
      <c r="N23" s="29"/>
      <c r="O23" s="29"/>
      <c r="P23" s="30">
        <v>1</v>
      </c>
      <c r="Q23" s="133">
        <f>+L23</f>
        <v>4350000</v>
      </c>
      <c r="R23" s="35">
        <f t="shared" si="1"/>
        <v>4350000</v>
      </c>
    </row>
    <row r="24" spans="2:18" ht="15">
      <c r="B24" s="57"/>
      <c r="C24" s="136"/>
      <c r="D24" s="137"/>
      <c r="E24" s="138"/>
      <c r="F24" s="55"/>
      <c r="G24" s="87"/>
      <c r="H24" s="111"/>
      <c r="I24" s="110"/>
      <c r="J24" s="112"/>
      <c r="K24" s="28">
        <v>16</v>
      </c>
      <c r="L24" s="116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57"/>
      <c r="C25" s="88"/>
      <c r="D25" s="89"/>
      <c r="E25" s="90"/>
      <c r="F25" s="55"/>
      <c r="G25" s="87"/>
      <c r="H25" s="111"/>
      <c r="I25" s="110"/>
      <c r="J25" s="112"/>
      <c r="K25" s="28">
        <v>17</v>
      </c>
      <c r="L25" s="116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57"/>
      <c r="C26" s="88"/>
      <c r="D26" s="89"/>
      <c r="E26" s="90"/>
      <c r="F26" s="55"/>
      <c r="G26" s="87"/>
      <c r="H26" s="111"/>
      <c r="I26" s="110"/>
      <c r="J26" s="112"/>
      <c r="K26" s="28"/>
      <c r="L26" s="116"/>
      <c r="M26" s="29"/>
      <c r="N26" s="29"/>
      <c r="O26" s="29"/>
      <c r="P26" s="30"/>
      <c r="Q26" s="31"/>
      <c r="R26" s="35"/>
    </row>
    <row r="27" spans="2:18" ht="15">
      <c r="B27" s="85"/>
      <c r="C27" s="88"/>
      <c r="D27" s="89"/>
      <c r="E27" s="90"/>
      <c r="F27" s="86"/>
      <c r="G27" s="87"/>
      <c r="H27" s="96"/>
      <c r="I27" s="110"/>
      <c r="J27" s="98"/>
      <c r="K27" s="28"/>
      <c r="L27" s="116"/>
      <c r="M27" s="29"/>
      <c r="N27" s="29"/>
      <c r="O27" s="29"/>
      <c r="P27" s="30"/>
      <c r="Q27" s="31"/>
      <c r="R27" s="35"/>
    </row>
    <row r="28" spans="2:18" ht="15">
      <c r="B28" s="57"/>
      <c r="C28" s="88"/>
      <c r="D28" s="89"/>
      <c r="E28" s="90"/>
      <c r="F28" s="55"/>
      <c r="G28" s="87"/>
      <c r="H28" s="111"/>
      <c r="I28" s="110"/>
      <c r="J28" s="112"/>
      <c r="K28" s="28"/>
      <c r="L28" s="29"/>
      <c r="M28" s="29"/>
      <c r="N28" s="29"/>
      <c r="O28" s="29"/>
      <c r="P28" s="30"/>
      <c r="Q28" s="31"/>
      <c r="R28" s="35"/>
    </row>
    <row r="29" spans="2:18" ht="15">
      <c r="B29" s="57"/>
      <c r="C29" s="88"/>
      <c r="D29" s="89"/>
      <c r="E29" s="90"/>
      <c r="F29" s="55"/>
      <c r="G29" s="87"/>
      <c r="H29" s="111"/>
      <c r="I29" s="110"/>
      <c r="J29" s="112"/>
      <c r="K29" s="28"/>
      <c r="L29" s="29"/>
      <c r="M29" s="29"/>
      <c r="N29" s="29"/>
      <c r="O29" s="29"/>
      <c r="P29" s="30"/>
      <c r="Q29" s="31"/>
      <c r="R29" s="35"/>
    </row>
    <row r="30" spans="2:18" ht="15">
      <c r="B30" s="57"/>
      <c r="C30" s="88"/>
      <c r="D30" s="89"/>
      <c r="E30" s="90"/>
      <c r="F30" s="55"/>
      <c r="G30" s="87"/>
      <c r="H30" s="111"/>
      <c r="I30" s="110"/>
      <c r="J30" s="112"/>
      <c r="K30" s="28"/>
      <c r="L30" s="29"/>
      <c r="M30" s="29"/>
      <c r="N30" s="29"/>
      <c r="O30" s="29"/>
      <c r="P30" s="30"/>
      <c r="Q30" s="31"/>
      <c r="R30" s="35"/>
    </row>
    <row r="31" spans="2:18" ht="15">
      <c r="B31" s="57"/>
      <c r="C31" s="88"/>
      <c r="D31" s="89"/>
      <c r="E31" s="90"/>
      <c r="F31" s="55"/>
      <c r="G31" s="87"/>
      <c r="H31" s="111"/>
      <c r="I31" s="110"/>
      <c r="J31" s="112"/>
      <c r="K31" s="28"/>
      <c r="L31" s="29"/>
      <c r="M31" s="29"/>
      <c r="N31" s="29"/>
      <c r="O31" s="29"/>
      <c r="P31" s="30"/>
      <c r="Q31" s="31"/>
      <c r="R31" s="35"/>
    </row>
    <row r="32" spans="2:18" ht="15">
      <c r="B32" s="57"/>
      <c r="C32" s="88"/>
      <c r="D32" s="89"/>
      <c r="E32" s="90"/>
      <c r="F32" s="55"/>
      <c r="G32" s="87"/>
      <c r="H32" s="111"/>
      <c r="I32" s="110"/>
      <c r="J32" s="112"/>
      <c r="K32" s="28"/>
      <c r="L32" s="29"/>
      <c r="M32" s="29"/>
      <c r="N32" s="29"/>
      <c r="O32" s="29"/>
      <c r="P32" s="30"/>
      <c r="Q32" s="31"/>
      <c r="R32" s="35"/>
    </row>
    <row r="33" spans="2:18" ht="15">
      <c r="B33" s="57"/>
      <c r="C33" s="88"/>
      <c r="D33" s="89"/>
      <c r="E33" s="90"/>
      <c r="F33" s="55"/>
      <c r="G33" s="87"/>
      <c r="H33" s="111"/>
      <c r="I33" s="110"/>
      <c r="J33" s="112"/>
      <c r="K33" s="28"/>
      <c r="L33" s="29"/>
      <c r="M33" s="29"/>
      <c r="N33" s="29"/>
      <c r="O33" s="29"/>
      <c r="P33" s="30"/>
      <c r="Q33" s="31"/>
      <c r="R33" s="35"/>
    </row>
    <row r="34" spans="2:18" ht="15">
      <c r="B34" s="57"/>
      <c r="C34" s="88"/>
      <c r="D34" s="89"/>
      <c r="E34" s="90"/>
      <c r="F34" s="55"/>
      <c r="G34" s="41"/>
      <c r="H34" s="111"/>
      <c r="I34" s="110"/>
      <c r="J34" s="112"/>
      <c r="K34" s="28"/>
      <c r="L34" s="29"/>
      <c r="M34" s="29"/>
      <c r="N34" s="29"/>
      <c r="O34" s="29"/>
      <c r="P34" s="30"/>
      <c r="Q34" s="31"/>
      <c r="R34" s="35"/>
    </row>
    <row r="35" spans="2:18" ht="15.75" thickBot="1">
      <c r="B35" s="57">
        <v>18</v>
      </c>
      <c r="C35" s="91"/>
      <c r="D35" s="92"/>
      <c r="E35" s="93"/>
      <c r="F35" s="55"/>
      <c r="G35" s="41"/>
      <c r="H35" s="113">
        <f>VLOOKUP(B35,COTIZADO,8,FALSE)</f>
        <v>0</v>
      </c>
      <c r="I35" s="114">
        <v>0</v>
      </c>
      <c r="J35" s="115">
        <f>F35*H35*(1-I35/100)</f>
        <v>0</v>
      </c>
      <c r="K35" s="28">
        <v>18</v>
      </c>
      <c r="L35" s="29"/>
      <c r="M35" s="29"/>
      <c r="N35" s="29"/>
      <c r="O35" s="29"/>
      <c r="P35" s="32">
        <v>1.5</v>
      </c>
      <c r="Q35" s="33"/>
      <c r="R35" s="35">
        <f t="shared" si="1"/>
        <v>0</v>
      </c>
    </row>
    <row r="36" spans="2:10" ht="15">
      <c r="B36" s="42" t="s">
        <v>17</v>
      </c>
      <c r="C36" s="56"/>
      <c r="D36" s="38"/>
      <c r="E36" s="38"/>
      <c r="F36" s="43"/>
      <c r="G36" s="44" t="s">
        <v>3</v>
      </c>
      <c r="H36" s="99"/>
      <c r="I36" s="100"/>
      <c r="J36" s="101">
        <f>SUM(J11:J35)</f>
        <v>5085000</v>
      </c>
    </row>
    <row r="37" spans="2:10" ht="15">
      <c r="B37" s="45"/>
      <c r="C37" s="46"/>
      <c r="D37" s="47"/>
      <c r="E37" s="38"/>
      <c r="F37" s="48"/>
      <c r="G37" s="49" t="s">
        <v>13</v>
      </c>
      <c r="H37" s="102"/>
      <c r="I37" s="103"/>
      <c r="J37" s="104">
        <f>J36*I37</f>
        <v>0</v>
      </c>
    </row>
    <row r="38" spans="2:10" ht="15">
      <c r="B38" s="37"/>
      <c r="C38" s="38"/>
      <c r="D38" s="38"/>
      <c r="E38" s="38"/>
      <c r="F38" s="50"/>
      <c r="G38" s="51" t="s">
        <v>4</v>
      </c>
      <c r="H38" s="102"/>
      <c r="I38" s="105"/>
      <c r="J38" s="104">
        <f>J36-J37</f>
        <v>5085000</v>
      </c>
    </row>
    <row r="39" spans="2:10" ht="15">
      <c r="B39" s="37"/>
      <c r="C39" s="38"/>
      <c r="D39" s="38"/>
      <c r="E39" s="38"/>
      <c r="F39" s="48"/>
      <c r="G39" s="49">
        <v>0.19</v>
      </c>
      <c r="H39" s="102"/>
      <c r="I39" s="103">
        <v>0.19</v>
      </c>
      <c r="J39" s="104">
        <f>J38*I39</f>
        <v>966150</v>
      </c>
    </row>
    <row r="40" spans="2:10" ht="15.75" thickBot="1">
      <c r="B40" s="39"/>
      <c r="C40" s="40"/>
      <c r="D40" s="40"/>
      <c r="E40" s="40"/>
      <c r="F40" s="52"/>
      <c r="G40" s="53" t="s">
        <v>2</v>
      </c>
      <c r="H40" s="106"/>
      <c r="I40" s="107"/>
      <c r="J40" s="108">
        <f>J38+J39</f>
        <v>6051150</v>
      </c>
    </row>
  </sheetData>
  <sheetProtection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E5:J5"/>
    <mergeCell ref="F6:H6"/>
    <mergeCell ref="F7:H7"/>
    <mergeCell ref="B8:C8"/>
    <mergeCell ref="F8:H8"/>
    <mergeCell ref="C10:E10"/>
  </mergeCells>
  <printOptions/>
  <pageMargins left="0.25" right="0.25" top="0.75" bottom="0.75" header="0.3" footer="0.3"/>
  <pageSetup fitToHeight="1" fitToWidth="1" horizontalDpi="600" verticalDpi="600" orientation="portrait" paperSize="9" scale="9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28"/>
  <sheetViews>
    <sheetView zoomScalePageLayoutView="0" workbookViewId="0" topLeftCell="A1">
      <selection activeCell="G23" sqref="G23"/>
    </sheetView>
  </sheetViews>
  <sheetFormatPr defaultColWidth="11.421875" defaultRowHeight="15"/>
  <cols>
    <col min="2" max="2" width="42.140625" style="0" customWidth="1"/>
    <col min="7" max="7" width="50.57421875" style="0" customWidth="1"/>
  </cols>
  <sheetData>
    <row r="4" ht="15.75" thickBot="1"/>
    <row r="5" spans="3:6" ht="15.75" thickBot="1">
      <c r="C5" s="146" t="s">
        <v>610</v>
      </c>
      <c r="D5" s="147"/>
      <c r="E5" s="147"/>
      <c r="F5" s="148"/>
    </row>
    <row r="6" spans="1:7" ht="15.75" thickBot="1">
      <c r="A6" s="122"/>
      <c r="B6" s="121" t="s">
        <v>585</v>
      </c>
      <c r="C6" s="122" t="s">
        <v>588</v>
      </c>
      <c r="D6" s="121" t="s">
        <v>589</v>
      </c>
      <c r="E6" s="122" t="s">
        <v>590</v>
      </c>
      <c r="F6" s="123" t="s">
        <v>591</v>
      </c>
      <c r="G6" s="122" t="s">
        <v>617</v>
      </c>
    </row>
    <row r="7" spans="1:7" ht="15">
      <c r="A7" s="149" t="s">
        <v>613</v>
      </c>
      <c r="B7" s="118" t="s">
        <v>586</v>
      </c>
      <c r="C7" s="124"/>
      <c r="D7" s="125" t="s">
        <v>604</v>
      </c>
      <c r="E7" s="124"/>
      <c r="F7" s="126" t="s">
        <v>604</v>
      </c>
      <c r="G7" s="118" t="s">
        <v>611</v>
      </c>
    </row>
    <row r="8" spans="1:7" ht="15">
      <c r="A8" s="150"/>
      <c r="B8" s="119" t="s">
        <v>598</v>
      </c>
      <c r="C8" s="124"/>
      <c r="D8" s="125"/>
      <c r="E8" s="124" t="s">
        <v>604</v>
      </c>
      <c r="F8" s="126" t="s">
        <v>592</v>
      </c>
      <c r="G8" s="119" t="s">
        <v>621</v>
      </c>
    </row>
    <row r="9" spans="1:7" ht="15">
      <c r="A9" s="150"/>
      <c r="B9" s="119" t="s">
        <v>627</v>
      </c>
      <c r="C9" s="124"/>
      <c r="D9" s="125"/>
      <c r="E9" s="124"/>
      <c r="F9" s="126" t="s">
        <v>592</v>
      </c>
      <c r="G9" s="119" t="s">
        <v>587</v>
      </c>
    </row>
    <row r="10" spans="1:7" ht="15">
      <c r="A10" s="150"/>
      <c r="B10" s="119" t="s">
        <v>599</v>
      </c>
      <c r="C10" s="124"/>
      <c r="D10" s="125"/>
      <c r="E10" s="124"/>
      <c r="F10" s="126" t="s">
        <v>592</v>
      </c>
      <c r="G10" s="119" t="s">
        <v>614</v>
      </c>
    </row>
    <row r="11" spans="1:7" ht="15">
      <c r="A11" s="150"/>
      <c r="B11" s="119" t="s">
        <v>593</v>
      </c>
      <c r="C11" s="124"/>
      <c r="D11" s="125"/>
      <c r="E11" s="124" t="s">
        <v>604</v>
      </c>
      <c r="F11" s="126"/>
      <c r="G11" s="119" t="s">
        <v>612</v>
      </c>
    </row>
    <row r="12" spans="1:7" ht="15">
      <c r="A12" s="150"/>
      <c r="B12" s="119" t="s">
        <v>594</v>
      </c>
      <c r="C12" s="124"/>
      <c r="D12" s="125"/>
      <c r="E12" s="124"/>
      <c r="F12" s="126" t="s">
        <v>604</v>
      </c>
      <c r="G12" s="119" t="s">
        <v>612</v>
      </c>
    </row>
    <row r="13" spans="1:7" ht="15">
      <c r="A13" s="150"/>
      <c r="B13" s="119" t="s">
        <v>596</v>
      </c>
      <c r="C13" s="124"/>
      <c r="D13" s="125"/>
      <c r="E13" s="124"/>
      <c r="F13" s="126" t="s">
        <v>604</v>
      </c>
      <c r="G13" s="119" t="s">
        <v>614</v>
      </c>
    </row>
    <row r="14" spans="1:7" ht="15">
      <c r="A14" s="150"/>
      <c r="B14" s="119" t="s">
        <v>616</v>
      </c>
      <c r="C14" s="124" t="s">
        <v>604</v>
      </c>
      <c r="D14" s="125"/>
      <c r="E14" s="124"/>
      <c r="F14" s="126"/>
      <c r="G14" s="119" t="s">
        <v>618</v>
      </c>
    </row>
    <row r="15" spans="1:7" ht="15.75" thickBot="1">
      <c r="A15" s="151"/>
      <c r="B15" s="120" t="s">
        <v>619</v>
      </c>
      <c r="C15" s="124" t="s">
        <v>604</v>
      </c>
      <c r="D15" s="125"/>
      <c r="E15" s="124"/>
      <c r="F15" s="126" t="s">
        <v>604</v>
      </c>
      <c r="G15" s="120" t="s">
        <v>626</v>
      </c>
    </row>
    <row r="16" spans="1:7" ht="15">
      <c r="A16" s="149" t="s">
        <v>595</v>
      </c>
      <c r="B16" s="118" t="s">
        <v>600</v>
      </c>
      <c r="C16" s="127"/>
      <c r="D16" s="128"/>
      <c r="E16" s="127" t="s">
        <v>604</v>
      </c>
      <c r="F16" s="129"/>
      <c r="G16" s="119" t="s">
        <v>621</v>
      </c>
    </row>
    <row r="17" spans="1:7" ht="15">
      <c r="A17" s="150"/>
      <c r="B17" s="119" t="s">
        <v>601</v>
      </c>
      <c r="C17" s="124"/>
      <c r="D17" s="125"/>
      <c r="E17" s="124" t="s">
        <v>604</v>
      </c>
      <c r="F17" s="126"/>
      <c r="G17" s="119" t="s">
        <v>621</v>
      </c>
    </row>
    <row r="18" spans="1:7" ht="15">
      <c r="A18" s="150"/>
      <c r="B18" s="119" t="s">
        <v>597</v>
      </c>
      <c r="C18" s="124"/>
      <c r="D18" s="125"/>
      <c r="E18" s="124"/>
      <c r="F18" s="126" t="s">
        <v>604</v>
      </c>
      <c r="G18" s="119" t="s">
        <v>622</v>
      </c>
    </row>
    <row r="19" spans="1:7" ht="15">
      <c r="A19" s="150"/>
      <c r="B19" s="119" t="s">
        <v>615</v>
      </c>
      <c r="C19" s="124"/>
      <c r="D19" s="125"/>
      <c r="E19" s="124"/>
      <c r="F19" s="126" t="s">
        <v>604</v>
      </c>
      <c r="G19" s="119" t="s">
        <v>622</v>
      </c>
    </row>
    <row r="20" spans="1:7" ht="15.75" thickBot="1">
      <c r="A20" s="151"/>
      <c r="B20" s="120" t="s">
        <v>625</v>
      </c>
      <c r="C20" s="130"/>
      <c r="D20" s="131"/>
      <c r="E20" s="130"/>
      <c r="F20" s="132" t="s">
        <v>604</v>
      </c>
      <c r="G20" s="120" t="s">
        <v>623</v>
      </c>
    </row>
    <row r="25" spans="2:3" ht="15">
      <c r="B25" s="36" t="s">
        <v>605</v>
      </c>
      <c r="C25" t="s">
        <v>602</v>
      </c>
    </row>
    <row r="26" spans="2:3" ht="15">
      <c r="B26" s="36" t="s">
        <v>606</v>
      </c>
      <c r="C26" t="s">
        <v>602</v>
      </c>
    </row>
    <row r="27" spans="2:3" ht="15">
      <c r="B27" s="36" t="s">
        <v>607</v>
      </c>
      <c r="C27" t="s">
        <v>603</v>
      </c>
    </row>
    <row r="28" spans="2:3" ht="15">
      <c r="B28" s="36" t="s">
        <v>608</v>
      </c>
      <c r="C28" t="s">
        <v>609</v>
      </c>
    </row>
  </sheetData>
  <sheetProtection/>
  <mergeCells count="3">
    <mergeCell ref="C5:F5"/>
    <mergeCell ref="A7:A15"/>
    <mergeCell ref="A16:A2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4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581</v>
      </c>
      <c r="C107" t="s">
        <v>580</v>
      </c>
      <c r="I107" t="s">
        <v>582</v>
      </c>
      <c r="K107">
        <v>71079473</v>
      </c>
      <c r="L107" s="58" t="s">
        <v>583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ian.espinoza@linde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2014-11-13T21:02:40Z</cp:lastPrinted>
  <dcterms:created xsi:type="dcterms:W3CDTF">2013-07-12T05:01:37Z</dcterms:created>
  <dcterms:modified xsi:type="dcterms:W3CDTF">2014-11-13T21:03:50Z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