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<sst xmlns="http://schemas.openxmlformats.org/spreadsheetml/2006/main" count="830" uniqueCount="595">
  <si>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</si>
  <si>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</si>
  <si>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</si>
  <si>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</si>
  <si>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</si>
  <si>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</si>
  <si>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</si>
  <si>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</si>
  <si>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</si>
  <si>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</si>
  <si>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</si>
  <si>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</si>
  <si>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</si>
  <si>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</si>
  <si>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</si>
  <si>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</si>
  <si>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</si>
  <si>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</si>
  <si>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</si>
  <si>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</si>
  <si>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</si>
  <si>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</si>
  <si>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</si>
  <si>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</si>
  <si>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</si>
  <si>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</si>
  <si>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</si>
  <si>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</si>
  <si>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</si>
  <si>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</si>
  <si>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</si>
  <si>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</si>
  <si>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</si>
  <si>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</si>
  <si>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</si>
  <si>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</si>
  <si>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</si>
  <si>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</si>
  <si>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</si>
  <si>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</si>
  <si>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</si>
  <si>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</si>
  <si>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</si>
  <si>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</si>
  <si>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</si>
  <si>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</si>
  <si>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</si>
  <si>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</si>
  <si>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</si>
  <si>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</si>
  <si>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</si>
  <si>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</si>
  <si>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</si>
  <si>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</si>
  <si>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</si>
  <si>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</si>
  <si>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</si>
  <si>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</si>
  <si>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</si>
  <si>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</si>
  <si>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</si>
  <si>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</si>
  <si>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</si>
  <si>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</si>
  <si>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</si>
  <si>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</si>
  <si>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</si>
  <si>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</si>
  <si>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</si>
  <si>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</si>
  <si>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</si>
  <si>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</si>
  <si>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</si>
  <si>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</si>
  <si>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</si>
  <si>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</si>
  <si>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</si>
  <si>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</si>
  <si>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</si>
  <si>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</si>
  <si>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</si>
  <si>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</si>
  <si>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</si>
  <si>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</si>
  <si>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</si>
  <si>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</si>
  <si>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</si>
  <si>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</si>
  <si>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</si>
  <si>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</si>
  <si>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</si>
  <si>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</si>
  <si>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</si>
  <si>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</si>
  <si>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</si>
  <si>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</si>
  <si>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</si>
  <si>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</si>
  <si>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</si>
  <si>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</si>
  <si>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</si>
  <si>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</si>
  <si>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</si>
  <si>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</si>
  <si>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</si>
  <si>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</si>
  <si>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</si>
  <si>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</si>
  <si>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</si>
  <si>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</si>
  <si>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</si>
  <si>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</si>
  <si>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</si>
  <si>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</si>
  <si>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</si>
  <si>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</si>
  <si>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</si>
  <si>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</si>
  <si>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</si>
  <si>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</si>
  <si>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</si>
  <si>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</si>
  <si>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</si>
  <si>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</si>
  <si>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</si>
  <si>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</si>
  <si>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</si>
  <si>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</si>
  <si>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</si>
  <si>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</si>
  <si>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</si>
  <si>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</si>
  <si>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</si>
  <si>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</si>
  <si>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</si>
  <si>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</si>
  <si>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</si>
  <si>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</si>
  <si>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</si>
  <si>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</si>
  <si>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</si>
  <si>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</si>
  <si>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</si>
  <si>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</si>
  <si>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</si>
  <si>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</si>
  <si>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</si>
  <si>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</si>
  <si>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</si>
  <si>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</si>
  <si>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</si>
  <si>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</si>
  <si>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</si>
  <si>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</si>
  <si>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</si>
  <si>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</si>
  <si>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</si>
  <si>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</si>
  <si>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</si>
  <si>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</si>
  <si>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</si>
  <si>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</si>
  <si>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</si>
  <si>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</si>
  <si>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</si>
  <si>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</si>
  <si>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</si>
  <si>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</si>
  <si>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</si>
  <si>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</si>
  <si>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</si>
  <si>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</si>
  <si>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</si>
  <si>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</si>
  <si>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</si>
  <si>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</si>
  <si>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</si>
  <si>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</si>
  <si>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</si>
  <si>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</si>
  <si>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</si>
  <si>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</si>
  <si>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</si>
  <si>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</si>
  <si>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</si>
  <si>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</si>
  <si>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</si>
  <si>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</si>
  <si>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</si>
  <si>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</si>
  <si>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</si>
  <si>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</si>
  <si>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</si>
  <si>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</si>
  <si>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</si>
  <si>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</si>
  <si>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</si>
  <si>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</si>
  <si>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</si>
  <si>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</si>
  <si>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</si>
  <si>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</si>
  <si>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</si>
  <si>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</si>
  <si>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</si>
  <si>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</si>
  <si>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</si>
  <si>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</si>
  <si>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</si>
  <si>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</si>
  <si>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</si>
  <si>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</si>
  <si>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</si>
  <si>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</si>
  <si>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</si>
  <si>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</si>
  <si>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</si>
  <si>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</si>
  <si>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</si>
  <si>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</si>
  <si>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</si>
  <si>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</si>
  <si>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</si>
  <si>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</si>
  <si>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</si>
  <si>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</si>
  <si>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</si>
  <si>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</si>
  <si>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</si>
  <si>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</si>
  <si>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</si>
  <si>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</si>
  <si>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</si>
  <si>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</si>
  <si>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</si>
  <si>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</si>
  <si>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</si>
  <si>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</si>
  <si>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</si>
  <si>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</si>
  <si>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</si>
  <si>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</si>
  <si>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</si>
  <si>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</si>
  <si>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</si>
  <si>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</si>
  <si>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</si>
  <si>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</si>
  <si>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</si>
  <si>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</si>
  <si>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</si>
  <si>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</si>
  <si>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</si>
  <si>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</si>
  <si>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</si>
  <si>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</si>
  <si>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</si>
  <si>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</si>
  <si>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</si>
  <si>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</si>
  <si>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</si>
  <si>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</si>
  <si>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</si>
  <si>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</si>
  <si>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</si>
  <si>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</si>
  <si>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</si>
  <si>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</si>
  <si>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</si>
  <si>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</si>
  <si>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</si>
  <si>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</si>
  <si>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</si>
  <si>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</si>
  <si>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</si>
  <si>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</si>
  <si>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</si>
  <si>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</si>
  <si>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</si>
  <si>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</si>
  <si>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</si>
  <si>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</si>
  <si>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</si>
  <si>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</si>
  <si>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</si>
  <si>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</si>
  <si>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</si>
  <si>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</si>
  <si>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</si>
  <si>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</si>
  <si>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</si>
  <si>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</si>
  <si>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</si>
  <si>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</si>
  <si>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</si>
  <si>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</si>
  <si>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</si>
  <si>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</si>
  <si>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</si>
  <si>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</si>
  <si>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</si>
  <si>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</si>
  <si>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</si>
  <si>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</si>
  <si>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</si>
  <si>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</si>
  <si>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</si>
  <si>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</si>
  <si>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</si>
  <si>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</si>
  <si>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</si>
  <si>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</si>
  <si>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</si>
  <si>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</si>
  <si>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</si>
  <si>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</si>
  <si>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</si>
  <si>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</si>
  <si>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</si>
  <si>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</si>
  <si>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</si>
  <si>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</si>
  <si>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</si>
  <si>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</si>
  <si>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</si>
  <si>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</si>
  <si>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</si>
  <si>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</si>
  <si>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</si>
  <si>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</si>
  <si>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</si>
  <si>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</si>
  <si>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</si>
  <si>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</si>
  <si>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</si>
  <si>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</si>
  <si>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</si>
  <si>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</si>
  <si>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</si>
  <si>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</si>
  <si>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</si>
  <si>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</si>
  <si>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</si>
  <si>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</si>
  <si>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</si>
  <si>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</si>
  <si>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</si>
  <si>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</si>
  <si>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</si>
  <si>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</si>
  <si>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</si>
  <si>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</si>
  <si>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</si>
  <si>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</si>
  <si>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</si>
  <si>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</si>
  <si>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</si>
  <si>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</si>
  <si>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</si>
  <si>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</si>
  <si>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</si>
  <si>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</si>
  <si>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</si>
  <si>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</si>
  <si>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</si>
  <si>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</si>
  <si>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</si>
  <si>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</si>
  <si>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</si>
  <si>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</si>
  <si>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</si>
  <si>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</si>
  <si>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</si>
  <si>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</si>
  <si>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</si>
  <si>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</si>
  <si>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</si>
  <si>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</si>
  <si>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</si>
  <si>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</si>
  <si>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</si>
  <si>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</si>
  <si>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</si>
  <si>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</si>
  <si>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</si>
  <si>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</si>
  <si>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</si>
  <si>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</si>
  <si>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</si>
  <si>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</si>
  <si>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</si>
  <si>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</si>
  <si>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</si>
  <si>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</si>
  <si>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</si>
  <si>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</si>
  <si>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</si>
  <si>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</si>
  <si>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</si>
  <si>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</si>
  <si>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</si>
  <si>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</si>
  <si>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</si>
  <si>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</si>
  <si>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</si>
  <si>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</si>
  <si>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</si>
  <si>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</si>
  <si>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</si>
  <si>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</si>
  <si>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</si>
  <si>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</si>
  <si>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</si>
  <si>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</si>
  <si>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</si>
  <si>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</si>
  <si>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</si>
  <si>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</si>
  <si>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</si>
  <si>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</si>
  <si>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</si>
  <si>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</si>
  <si>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</si>
  <si>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</si>
  <si>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</si>
  <si>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</si>
  <si>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</si>
  <si>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</si>
  <si>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</si>
  <si>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</si>
  <si>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</si>
  <si>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</si>
  <si>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</si>
  <si>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</si>
  <si>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</si>
  <si>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</si>
  <si>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</si>
  <si>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</si>
  <si>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</si>
  <si>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</si>
  <si>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</si>
  <si>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</si>
  <si>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</si>
  <si>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</si>
  <si>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</si>
  <si>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</si>
  <si>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</si>
  <si>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</si>
  <si>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</si>
  <si>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</si>
  <si>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</si>
  <si>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</si>
  <si>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</si>
  <si>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</si>
  <si>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</si>
  <si>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</si>
  <si>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</si>
  <si>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</si>
  <si>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</si>
  <si>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</si>
  <si>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</si>
  <si>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</si>
  <si>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</si>
  <si>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</si>
  <si>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</si>
  <si>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</si>
  <si>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</si>
  <si>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</si>
  <si>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</si>
  <si>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</si>
  <si>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</si>
  <si>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</si>
  <si>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</si>
  <si>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</si>
  <si>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</si>
  <si>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</si>
  <si>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</si>
  <si>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</si>
  <si>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</si>
  <si>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</si>
  <si>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</si>
  <si>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</si>
  <si>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</si>
  <si>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</si>
  <si>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</si>
  <si>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</si>
  <si>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</si>
  <si>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</si>
  <si>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</si>
  <si>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</si>
  <si>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</si>
  <si>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</si>
  <si>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</si>
  <si>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</si>
  <si>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</si>
  <si>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</si>
  <si>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</si>
  <si>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</si>
  <si>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</si>
  <si>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</si>
  <si>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</si>
  <si>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</si>
  <si>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</si>
  <si>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</si>
  <si>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</si>
  <si>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</si>
  <si>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</si>
  <si>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</si>
  <si>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</si>
  <si>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</si>
  <si>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</si>
  <si>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</si>
  <si>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</si>
  <si>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</si>
  <si>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</si>
  <si>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</si>
  <si>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</si>
  <si>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</si>
  <si>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</si>
  <si>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</si>
  <si>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</si>
  <si>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</si>
  <si>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</si>
  <si>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</si>
  <si>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</si>
  <si>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</si>
  <si>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</si>
  <si>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</si>
  <si>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</si>
  <si>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</si>
  <si>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</si>
  <si>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</si>
  <si>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</si>
  <si>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</si>
  <si>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</si>
  <si>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</si>
  <si>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</si>
  <si>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</si>
  <si>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</si>
  <si>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</si>
  <si>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</si>
  <si>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</si>
  <si>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</si>
  <si>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</si>
  <si>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</si>
  <si>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</si>
  <si>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</si>
  <si>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</si>
  <si>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</si>
  <si>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</si>
  <si>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</si>
  <si>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</si>
  <si>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</si>
  <si>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</si>
  <si>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</si>
  <si>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</si>
  <si>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</si>
  <si>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</si>
  <si>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</si>
  <si>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</si>
  <si>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</si>
  <si>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</si>
  <si>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</si>
  <si>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</si>
  <si>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</si>
  <si>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</si>
  <si>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</si>
  <si>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</si>
  <si>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</si>
  <si>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</si>
  <si>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</si>
  <si>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</si>
  <si>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</si>
  <si>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</si>
  <si>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80.919.600-3</t>
  </si>
  <si>
    <t>PINTURAS SIPA S.A.</t>
  </si>
  <si>
    <t>Av. Pedro Aguirre Cerda 5683</t>
  </si>
  <si>
    <t>6-6554806</t>
  </si>
  <si>
    <t>2-8871235</t>
  </si>
  <si>
    <t>jcrodriguez@ceresita.cl</t>
  </si>
  <si>
    <t>Sandra Meriño</t>
  </si>
  <si>
    <t>HIDRO</t>
  </si>
  <si>
    <t>MANGUERA PVC C/ESPIRAL 1"</t>
  </si>
  <si>
    <t>MANGUERA PVC C/ESPIRAL 11/2"</t>
  </si>
  <si>
    <t>MANGUERA PVC C/ESPIRAL 4"</t>
  </si>
  <si>
    <t>M</t>
  </si>
  <si>
    <t>MANGUERA  PARA AIRE GOMA/TELA  ½ 20 BAR</t>
  </si>
  <si>
    <t>MANGUERA GOMA  CON ESPÌRAL DE  ACERO 2”</t>
  </si>
  <si>
    <t xml:space="preserve">DANUS </t>
  </si>
  <si>
    <t>PROCA</t>
  </si>
  <si>
    <t>aitec</t>
  </si>
  <si>
    <t>MANGUERA GOMA  CON ESPÌRAL DE  ACERO 3”</t>
  </si>
  <si>
    <t>MANGUERA GOMA  CON ESPÌRAL DE  ACERO 4”</t>
  </si>
  <si>
    <t>ACOPLES CAMLOCK  TIPO C 4” AL</t>
  </si>
  <si>
    <t>ACOPLES CAMLOCK  TIPO C 3” AL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</si>
</sst>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;\-0.0;;@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27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4" xfId="0" applyFont="1" applyFill="1" applyBorder="1" applyAlignment="1" applyProtection="1">
      <alignment horizontal="right" vertical="center"/>
      <protection locked="0"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9" fillId="0" borderId="0" xfId="0" applyNumberFormat="1" applyFont="1" applyFill="1" applyBorder="1" applyAlignment="1" applyProtection="1">
      <alignment/>
      <protection/>
    </xf>
    <xf numFmtId="166" fontId="60" fillId="33" borderId="12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0" fontId="39" fillId="0" borderId="0" xfId="45" applyAlignment="1">
      <alignment/>
    </xf>
    <xf numFmtId="0" fontId="59" fillId="0" borderId="0" xfId="0" applyFont="1" applyAlignment="1" applyProtection="1">
      <alignment horizontal="left" vertical="top"/>
      <protection locked="0"/>
    </xf>
    <xf numFmtId="3" fontId="52" fillId="0" borderId="0" xfId="0" applyNumberFormat="1" applyFont="1" applyAlignment="1" applyProtection="1">
      <alignment/>
      <protection locked="0"/>
    </xf>
    <xf numFmtId="167" fontId="53" fillId="33" borderId="27" xfId="0" applyNumberFormat="1" applyFont="1" applyFill="1" applyBorder="1" applyAlignment="1" applyProtection="1">
      <alignment horizontal="center"/>
      <protection locked="0"/>
    </xf>
    <xf numFmtId="167" fontId="53" fillId="33" borderId="32" xfId="0" applyNumberFormat="1" applyFont="1" applyFill="1" applyBorder="1" applyAlignment="1" applyProtection="1">
      <alignment horizontal="center"/>
      <protection/>
    </xf>
    <xf numFmtId="167" fontId="53" fillId="33" borderId="32" xfId="0" applyNumberFormat="1" applyFont="1" applyFill="1" applyBorder="1" applyAlignment="1" applyProtection="1">
      <alignment horizontal="center"/>
      <protection locked="0"/>
    </xf>
    <xf numFmtId="167" fontId="53" fillId="33" borderId="15" xfId="0" applyNumberFormat="1" applyFont="1" applyFill="1" applyBorder="1" applyAlignment="1" applyProtection="1">
      <alignment horizontal="center"/>
      <protection/>
    </xf>
    <xf numFmtId="167" fontId="53" fillId="33" borderId="35" xfId="0" applyNumberFormat="1" applyFont="1" applyFill="1" applyBorder="1" applyAlignment="1" applyProtection="1">
      <alignment horizontal="center"/>
      <protection/>
    </xf>
    <xf numFmtId="167" fontId="53" fillId="33" borderId="35" xfId="0" applyNumberFormat="1" applyFont="1" applyFill="1" applyBorder="1" applyAlignment="1" applyProtection="1">
      <alignment horizontal="center"/>
      <protection locked="0"/>
    </xf>
    <xf numFmtId="167" fontId="53" fillId="33" borderId="26" xfId="0" applyNumberFormat="1" applyFont="1" applyFill="1" applyBorder="1" applyAlignment="1" applyProtection="1">
      <alignment horizontal="center"/>
      <protection/>
    </xf>
    <xf numFmtId="167" fontId="53" fillId="33" borderId="11" xfId="0" applyNumberFormat="1" applyFont="1" applyFill="1" applyBorder="1" applyAlignment="1" applyProtection="1">
      <alignment horizontal="right" vertical="center"/>
      <protection locked="0"/>
    </xf>
    <xf numFmtId="167" fontId="53" fillId="33" borderId="30" xfId="0" applyNumberFormat="1" applyFont="1" applyFill="1" applyBorder="1" applyAlignment="1" applyProtection="1">
      <alignment horizontal="right"/>
      <protection locked="0"/>
    </xf>
    <xf numFmtId="167" fontId="53" fillId="33" borderId="0" xfId="0" applyNumberFormat="1" applyFont="1" applyFill="1" applyBorder="1" applyAlignment="1" applyProtection="1">
      <alignment horizontal="right" vertical="center"/>
      <protection locked="0"/>
    </xf>
    <xf numFmtId="167" fontId="53" fillId="33" borderId="19" xfId="0" applyNumberFormat="1" applyFont="1" applyFill="1" applyBorder="1" applyAlignment="1" applyProtection="1">
      <alignment horizontal="center" vertical="center"/>
      <protection locked="0"/>
    </xf>
    <xf numFmtId="167" fontId="53" fillId="33" borderId="19" xfId="0" applyNumberFormat="1" applyFont="1" applyFill="1" applyBorder="1" applyAlignment="1" applyProtection="1">
      <alignment horizontal="right"/>
      <protection locked="0"/>
    </xf>
    <xf numFmtId="167" fontId="53" fillId="33" borderId="24" xfId="0" applyNumberFormat="1" applyFont="1" applyFill="1" applyBorder="1" applyAlignment="1" applyProtection="1">
      <alignment horizontal="right" vertical="center"/>
      <protection locked="0"/>
    </xf>
    <xf numFmtId="167" fontId="53" fillId="33" borderId="36" xfId="0" applyNumberFormat="1" applyFont="1" applyFill="1" applyBorder="1" applyAlignment="1" applyProtection="1">
      <alignment horizontal="right"/>
      <protection locked="0"/>
    </xf>
    <xf numFmtId="168" fontId="52" fillId="0" borderId="21" xfId="0" applyNumberFormat="1" applyFont="1" applyBorder="1" applyAlignment="1" applyProtection="1">
      <alignment/>
      <protection/>
    </xf>
    <xf numFmtId="0" fontId="57" fillId="33" borderId="10" xfId="0" applyFont="1" applyFill="1" applyBorder="1" applyAlignment="1" applyProtection="1">
      <alignment horizontal="left"/>
      <protection locked="0"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2" xfId="0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7" fillId="33" borderId="12" xfId="0" applyFont="1" applyFill="1" applyBorder="1" applyAlignment="1" applyProtection="1">
      <alignment/>
      <protection locked="0"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31" xfId="0" applyNumberFormat="1" applyFont="1" applyFill="1" applyBorder="1" applyAlignment="1" applyProtection="1">
      <alignment horizontal="center"/>
      <protection/>
    </xf>
    <xf numFmtId="166" fontId="53" fillId="33" borderId="37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7" fontId="61" fillId="33" borderId="19" xfId="0" applyNumberFormat="1" applyFont="1" applyFill="1" applyBorder="1" applyAlignment="1" applyProtection="1">
      <alignment horizontal="center" vertical="center"/>
      <protection locked="0"/>
    </xf>
    <xf numFmtId="3" fontId="52" fillId="0" borderId="0" xfId="0" applyNumberFormat="1" applyFont="1" applyBorder="1" applyAlignment="1" applyProtection="1">
      <alignment/>
      <protection locked="0"/>
    </xf>
    <xf numFmtId="0" fontId="52" fillId="34" borderId="0" xfId="0" applyFont="1" applyFill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9" fillId="33" borderId="0" xfId="0" applyNumberFormat="1" applyFont="1" applyFill="1" applyBorder="1" applyAlignment="1" applyProtection="1">
      <alignment horizontal="left"/>
      <protection/>
    </xf>
    <xf numFmtId="166" fontId="59" fillId="33" borderId="15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rodriguez@ceresit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T33"/>
  <sheetViews>
    <sheetView tabSelected="1" zoomScalePageLayoutView="0" workbookViewId="0" topLeftCell="E10">
      <selection activeCell="R31" sqref="R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8" width="11.421875" style="8" customWidth="1"/>
    <col min="19" max="19" width="11.8515625" style="8" bestFit="1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988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4" ht="15">
      <c r="B4" s="37" t="s">
        <v>6</v>
      </c>
      <c r="C4" s="38"/>
      <c r="D4" s="81" t="s">
        <v>574</v>
      </c>
      <c r="E4" s="38" t="s">
        <v>12</v>
      </c>
      <c r="F4" s="39"/>
      <c r="G4" s="39"/>
      <c r="H4" s="40"/>
      <c r="I4" s="38" t="s">
        <v>9</v>
      </c>
      <c r="J4" s="78" t="str">
        <f>VLOOKUP(D4,CLIENTES,10,FALSE)</f>
        <v>2-8871235</v>
      </c>
      <c r="K4" s="20"/>
      <c r="N4" s="8">
        <f>1.35/0.9</f>
        <v>1.5</v>
      </c>
    </row>
    <row r="5" spans="2:11" ht="15">
      <c r="B5" s="41"/>
      <c r="C5" s="42"/>
      <c r="D5" s="43"/>
      <c r="E5" s="120" t="str">
        <f>VLOOKUP(D4,CLIENTES,4,FALSE)</f>
        <v>Av. Pedro Aguirre Cerda 5683</v>
      </c>
      <c r="F5" s="120"/>
      <c r="G5" s="120"/>
      <c r="H5" s="120"/>
      <c r="I5" s="120"/>
      <c r="J5" s="121"/>
      <c r="K5" s="20"/>
    </row>
    <row r="6" spans="2:10" ht="17.25" customHeight="1">
      <c r="B6" s="41" t="s">
        <v>27</v>
      </c>
      <c r="C6" s="42"/>
      <c r="D6" s="44" t="str">
        <f>VLOOKUP(D4,CLIENTES,2,FALSE)</f>
        <v>PINTURAS SIPA S.A.</v>
      </c>
      <c r="E6" s="42" t="s">
        <v>7</v>
      </c>
      <c r="F6" s="122" t="str">
        <f>VLOOKUP(D4,CLIENTES,5,FALSE)</f>
        <v>CERRILLOS</v>
      </c>
      <c r="G6" s="122"/>
      <c r="H6" s="122"/>
      <c r="I6" s="77" t="str">
        <f>VLOOKUP(D4,CLIENTES,11,FALSE)</f>
        <v>jcrodriguez@ceresita.cl</v>
      </c>
      <c r="J6" s="45"/>
    </row>
    <row r="7" spans="2:10" ht="15">
      <c r="B7" s="41" t="s">
        <v>25</v>
      </c>
      <c r="C7" s="42"/>
      <c r="D7" s="44" t="str">
        <f>VLOOKUP(D4,CLIENTES,3,FALSE)</f>
        <v>PINTURAS</v>
      </c>
      <c r="E7" s="42" t="s">
        <v>8</v>
      </c>
      <c r="F7" s="122" t="str">
        <f>VLOOKUP(D4,CLIENTES,6,FALSE)</f>
        <v>STGO</v>
      </c>
      <c r="G7" s="122"/>
      <c r="H7" s="122"/>
      <c r="I7" s="42" t="s">
        <v>26</v>
      </c>
      <c r="J7" s="79" t="str">
        <f>VLOOKUP(D4,CLIENTES,8,FALSE)</f>
        <v>Sandra Meriño</v>
      </c>
    </row>
    <row r="8" spans="2:12" ht="15.75" thickBot="1">
      <c r="B8" s="118" t="s">
        <v>28</v>
      </c>
      <c r="C8" s="119"/>
      <c r="D8" s="44">
        <f>VLOOKUP(D4,CLIENTES,7,FALSE)</f>
        <v>0</v>
      </c>
      <c r="E8" s="42" t="s">
        <v>11</v>
      </c>
      <c r="F8" s="122">
        <f>VLOOKUP(D4,CLIENTES,12,FALSE)</f>
        <v>0</v>
      </c>
      <c r="G8" s="122"/>
      <c r="H8" s="122"/>
      <c r="I8" s="42" t="s">
        <v>14</v>
      </c>
      <c r="J8" s="46">
        <f ca="1">TODAY()</f>
        <v>41542</v>
      </c>
      <c r="K8" s="20"/>
      <c r="L8" s="20"/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15" t="s">
        <v>24</v>
      </c>
      <c r="D10" s="116"/>
      <c r="E10" s="117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581</v>
      </c>
      <c r="M10" s="25" t="s">
        <v>588</v>
      </c>
      <c r="N10" s="25" t="s">
        <v>589</v>
      </c>
      <c r="O10" s="25" t="s">
        <v>590</v>
      </c>
      <c r="P10" s="26" t="s">
        <v>16</v>
      </c>
      <c r="Q10" s="25" t="s">
        <v>19</v>
      </c>
      <c r="R10" s="27" t="s">
        <v>20</v>
      </c>
    </row>
    <row r="11" spans="2:19" ht="15" customHeight="1">
      <c r="B11" s="99">
        <v>1</v>
      </c>
      <c r="C11" s="98" t="s">
        <v>593</v>
      </c>
      <c r="D11" s="103"/>
      <c r="E11" s="104"/>
      <c r="F11" s="100">
        <v>12</v>
      </c>
      <c r="G11" s="56" t="s">
        <v>23</v>
      </c>
      <c r="H11" s="108">
        <f>VLOOKUP(B11,COTIZADO,8,FALSE)</f>
        <v>14985</v>
      </c>
      <c r="I11" s="83">
        <v>10</v>
      </c>
      <c r="J11" s="106">
        <f aca="true" t="shared" si="0" ref="J11:J28">F11*H11*(1-I11/100)</f>
        <v>161838</v>
      </c>
      <c r="K11" s="28">
        <v>1</v>
      </c>
      <c r="L11" s="29"/>
      <c r="M11" s="29">
        <v>9990</v>
      </c>
      <c r="N11" s="29">
        <f>11138*(1-0.2)</f>
        <v>8910.4</v>
      </c>
      <c r="O11" s="29"/>
      <c r="P11" s="30">
        <v>1.5</v>
      </c>
      <c r="Q11" s="31">
        <f>+M11</f>
        <v>9990</v>
      </c>
      <c r="R11" s="35">
        <f>Q11*P11</f>
        <v>14985</v>
      </c>
      <c r="S11" s="8">
        <f>+F11*N11</f>
        <v>106924.79999999999</v>
      </c>
    </row>
    <row r="12" spans="2:19" ht="15">
      <c r="B12" s="101">
        <v>2</v>
      </c>
      <c r="C12" s="57" t="s">
        <v>594</v>
      </c>
      <c r="D12" s="58"/>
      <c r="E12" s="59"/>
      <c r="F12" s="102">
        <v>20</v>
      </c>
      <c r="G12" s="60" t="s">
        <v>23</v>
      </c>
      <c r="H12" s="105">
        <f aca="true" t="shared" si="1" ref="H12:H28">VLOOKUP(B12,COTIZADO,8,FALSE)</f>
        <v>10797.6</v>
      </c>
      <c r="I12" s="85">
        <v>10</v>
      </c>
      <c r="J12" s="107">
        <f t="shared" si="0"/>
        <v>194356.80000000002</v>
      </c>
      <c r="K12" s="28">
        <v>2</v>
      </c>
      <c r="L12" s="29"/>
      <c r="M12" s="29">
        <v>6580</v>
      </c>
      <c r="N12" s="29">
        <f>8998*(1-0.2)</f>
        <v>7198.400000000001</v>
      </c>
      <c r="O12" s="29"/>
      <c r="P12" s="30">
        <v>1.5</v>
      </c>
      <c r="Q12" s="31">
        <f>+N12</f>
        <v>7198.400000000001</v>
      </c>
      <c r="R12" s="35">
        <f aca="true" t="shared" si="2" ref="R12:R28">Q12*P12</f>
        <v>10797.6</v>
      </c>
      <c r="S12" s="8">
        <f aca="true" t="shared" si="3" ref="S12:S19">+F12*N12</f>
        <v>143968</v>
      </c>
    </row>
    <row r="13" spans="2:19" ht="15">
      <c r="B13" s="101">
        <v>3</v>
      </c>
      <c r="C13" s="57" t="s">
        <v>582</v>
      </c>
      <c r="D13" s="58"/>
      <c r="E13" s="59"/>
      <c r="F13" s="102">
        <v>20</v>
      </c>
      <c r="G13" s="60" t="s">
        <v>585</v>
      </c>
      <c r="H13" s="105">
        <f t="shared" si="1"/>
        <v>1320.8999999999999</v>
      </c>
      <c r="I13" s="85">
        <v>10</v>
      </c>
      <c r="J13" s="107">
        <f t="shared" si="0"/>
        <v>23776.199999999997</v>
      </c>
      <c r="K13" s="28">
        <v>3</v>
      </c>
      <c r="L13" s="82"/>
      <c r="M13" s="29"/>
      <c r="N13" s="29"/>
      <c r="O13" s="29">
        <f>1258*(1-0.3)</f>
        <v>880.5999999999999</v>
      </c>
      <c r="P13" s="30">
        <v>1.5</v>
      </c>
      <c r="Q13" s="113">
        <f>+O13</f>
        <v>880.5999999999999</v>
      </c>
      <c r="R13" s="35">
        <f t="shared" si="2"/>
        <v>1320.8999999999999</v>
      </c>
      <c r="S13" s="8">
        <f t="shared" si="3"/>
        <v>0</v>
      </c>
    </row>
    <row r="14" spans="2:19" ht="15">
      <c r="B14" s="101">
        <v>4</v>
      </c>
      <c r="C14" s="57" t="s">
        <v>583</v>
      </c>
      <c r="D14" s="58"/>
      <c r="E14" s="59"/>
      <c r="F14" s="102">
        <v>20</v>
      </c>
      <c r="G14" s="60" t="s">
        <v>585</v>
      </c>
      <c r="H14" s="105">
        <f t="shared" si="1"/>
        <v>2265.8999999999996</v>
      </c>
      <c r="I14" s="85">
        <v>10</v>
      </c>
      <c r="J14" s="107">
        <f t="shared" si="0"/>
        <v>40786.2</v>
      </c>
      <c r="K14" s="28">
        <v>4</v>
      </c>
      <c r="L14" s="29"/>
      <c r="M14" s="29"/>
      <c r="N14" s="29"/>
      <c r="O14" s="29">
        <f>2158*(1-0.3)</f>
        <v>1510.6</v>
      </c>
      <c r="P14" s="30">
        <v>1.5</v>
      </c>
      <c r="Q14" s="31">
        <f>+O14</f>
        <v>1510.6</v>
      </c>
      <c r="R14" s="35">
        <f t="shared" si="2"/>
        <v>2265.8999999999996</v>
      </c>
      <c r="S14" s="8">
        <f t="shared" si="3"/>
        <v>0</v>
      </c>
    </row>
    <row r="15" spans="2:19" ht="15">
      <c r="B15" s="101">
        <v>5</v>
      </c>
      <c r="C15" s="57" t="s">
        <v>584</v>
      </c>
      <c r="D15" s="58"/>
      <c r="E15" s="59"/>
      <c r="F15" s="102">
        <v>25</v>
      </c>
      <c r="G15" s="60" t="s">
        <v>585</v>
      </c>
      <c r="H15" s="105">
        <f t="shared" si="1"/>
        <v>10913.699999999999</v>
      </c>
      <c r="I15" s="85">
        <v>10</v>
      </c>
      <c r="J15" s="107">
        <f t="shared" si="0"/>
        <v>245558.25</v>
      </c>
      <c r="K15" s="28">
        <v>5</v>
      </c>
      <c r="L15" s="29"/>
      <c r="M15" s="29"/>
      <c r="N15" s="29"/>
      <c r="O15" s="29">
        <f>10394*(1-0.3)</f>
        <v>7275.799999999999</v>
      </c>
      <c r="P15" s="30">
        <v>1.5</v>
      </c>
      <c r="Q15" s="31">
        <f>+O15</f>
        <v>7275.799999999999</v>
      </c>
      <c r="R15" s="35">
        <f t="shared" si="2"/>
        <v>10913.699999999999</v>
      </c>
      <c r="S15" s="8">
        <f t="shared" si="3"/>
        <v>0</v>
      </c>
    </row>
    <row r="16" spans="2:18" ht="15">
      <c r="B16" s="101">
        <v>6</v>
      </c>
      <c r="C16" s="57" t="s">
        <v>586</v>
      </c>
      <c r="D16" s="58"/>
      <c r="E16" s="59"/>
      <c r="F16" s="102">
        <v>50</v>
      </c>
      <c r="G16" s="60" t="s">
        <v>585</v>
      </c>
      <c r="H16" s="105">
        <f t="shared" si="1"/>
        <v>952.8</v>
      </c>
      <c r="I16" s="85">
        <v>10</v>
      </c>
      <c r="J16" s="107">
        <f t="shared" si="0"/>
        <v>42876</v>
      </c>
      <c r="K16" s="28">
        <v>6</v>
      </c>
      <c r="L16" s="29"/>
      <c r="M16" s="29"/>
      <c r="N16" s="114">
        <v>794</v>
      </c>
      <c r="O16" s="29"/>
      <c r="P16" s="30">
        <v>1.2</v>
      </c>
      <c r="Q16" s="31">
        <f>+N16</f>
        <v>794</v>
      </c>
      <c r="R16" s="35">
        <f t="shared" si="2"/>
        <v>952.8</v>
      </c>
    </row>
    <row r="17" spans="2:19" ht="15">
      <c r="B17" s="101">
        <v>7</v>
      </c>
      <c r="C17" s="57" t="s">
        <v>587</v>
      </c>
      <c r="D17" s="58"/>
      <c r="E17" s="59"/>
      <c r="F17" s="102">
        <v>15</v>
      </c>
      <c r="G17" s="60" t="s">
        <v>585</v>
      </c>
      <c r="H17" s="105">
        <f t="shared" si="1"/>
        <v>14012.400000000001</v>
      </c>
      <c r="I17" s="85">
        <v>10</v>
      </c>
      <c r="J17" s="107">
        <f t="shared" si="0"/>
        <v>189167.40000000002</v>
      </c>
      <c r="K17" s="28">
        <v>7</v>
      </c>
      <c r="L17" s="29"/>
      <c r="M17" s="29"/>
      <c r="N17" s="29">
        <f>11677*(1-0.2)</f>
        <v>9341.6</v>
      </c>
      <c r="O17" s="29"/>
      <c r="P17" s="30">
        <v>1.5</v>
      </c>
      <c r="Q17" s="31">
        <f>+N17</f>
        <v>9341.6</v>
      </c>
      <c r="R17" s="35">
        <f t="shared" si="2"/>
        <v>14012.400000000001</v>
      </c>
      <c r="S17" s="8">
        <f t="shared" si="3"/>
        <v>140124</v>
      </c>
    </row>
    <row r="18" spans="2:19" ht="15">
      <c r="B18" s="101">
        <v>8</v>
      </c>
      <c r="C18" s="57" t="s">
        <v>591</v>
      </c>
      <c r="D18" s="58"/>
      <c r="E18" s="59"/>
      <c r="F18" s="102">
        <v>30</v>
      </c>
      <c r="G18" s="60" t="s">
        <v>585</v>
      </c>
      <c r="H18" s="105">
        <f t="shared" si="1"/>
        <v>25959.600000000002</v>
      </c>
      <c r="I18" s="85">
        <v>10</v>
      </c>
      <c r="J18" s="107">
        <f t="shared" si="0"/>
        <v>700909.2000000001</v>
      </c>
      <c r="K18" s="28">
        <v>8</v>
      </c>
      <c r="L18" s="29"/>
      <c r="M18" s="29"/>
      <c r="N18" s="29">
        <f>21633*(1-0.2)</f>
        <v>17306.4</v>
      </c>
      <c r="O18" s="29"/>
      <c r="P18" s="30">
        <v>1.5</v>
      </c>
      <c r="Q18" s="31">
        <f>+N18</f>
        <v>17306.4</v>
      </c>
      <c r="R18" s="35">
        <f t="shared" si="2"/>
        <v>25959.600000000002</v>
      </c>
      <c r="S18" s="8">
        <f t="shared" si="3"/>
        <v>519192.00000000006</v>
      </c>
    </row>
    <row r="19" spans="2:19" ht="15">
      <c r="B19" s="101">
        <v>9</v>
      </c>
      <c r="C19" s="57" t="s">
        <v>592</v>
      </c>
      <c r="D19" s="58"/>
      <c r="E19" s="59"/>
      <c r="F19" s="102">
        <v>15</v>
      </c>
      <c r="G19" s="60" t="s">
        <v>585</v>
      </c>
      <c r="H19" s="105">
        <f t="shared" si="1"/>
        <v>33681.600000000006</v>
      </c>
      <c r="I19" s="85">
        <v>10</v>
      </c>
      <c r="J19" s="107">
        <f t="shared" si="0"/>
        <v>454701.6000000001</v>
      </c>
      <c r="K19" s="28">
        <v>9</v>
      </c>
      <c r="L19" s="29"/>
      <c r="M19" s="29"/>
      <c r="N19" s="29">
        <f>28068*(1-0.2)</f>
        <v>22454.4</v>
      </c>
      <c r="O19" s="29"/>
      <c r="P19" s="30">
        <v>1.5</v>
      </c>
      <c r="Q19" s="31">
        <f>+N19</f>
        <v>22454.4</v>
      </c>
      <c r="R19" s="35">
        <f t="shared" si="2"/>
        <v>33681.600000000006</v>
      </c>
      <c r="S19" s="8">
        <f t="shared" si="3"/>
        <v>336816</v>
      </c>
    </row>
    <row r="20" spans="2:19" ht="15">
      <c r="B20" s="101">
        <v>10</v>
      </c>
      <c r="C20" s="57"/>
      <c r="D20" s="58"/>
      <c r="E20" s="59"/>
      <c r="F20" s="102"/>
      <c r="G20" s="60"/>
      <c r="H20" s="84">
        <f t="shared" si="1"/>
        <v>0</v>
      </c>
      <c r="I20" s="85">
        <v>0</v>
      </c>
      <c r="J20" s="8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97">
        <f t="shared" si="2"/>
        <v>0</v>
      </c>
      <c r="S20" s="123">
        <f>+SUM(S11:S19)</f>
        <v>1247024.8</v>
      </c>
    </row>
    <row r="21" spans="2:19" ht="15">
      <c r="B21" s="101">
        <v>11</v>
      </c>
      <c r="C21" s="57"/>
      <c r="D21" s="58"/>
      <c r="E21" s="59"/>
      <c r="F21" s="102"/>
      <c r="G21" s="60"/>
      <c r="H21" s="84">
        <f t="shared" si="1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97">
        <f t="shared" si="2"/>
        <v>0</v>
      </c>
      <c r="S21" s="123">
        <f>+S20*1.19</f>
        <v>1483959.512</v>
      </c>
    </row>
    <row r="22" spans="2:18" ht="15">
      <c r="B22" s="101">
        <v>12</v>
      </c>
      <c r="C22" s="57"/>
      <c r="D22" s="58"/>
      <c r="E22" s="59"/>
      <c r="F22" s="102"/>
      <c r="G22" s="60"/>
      <c r="H22" s="84">
        <f t="shared" si="1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97">
        <f t="shared" si="2"/>
        <v>0</v>
      </c>
    </row>
    <row r="23" spans="2:20" ht="15">
      <c r="B23" s="101">
        <v>13</v>
      </c>
      <c r="C23" s="57"/>
      <c r="D23" s="58"/>
      <c r="E23" s="59"/>
      <c r="F23" s="102"/>
      <c r="G23" s="60"/>
      <c r="H23" s="84">
        <f t="shared" si="1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97">
        <f t="shared" si="2"/>
        <v>0</v>
      </c>
      <c r="T23" s="8">
        <f>1483960/2</f>
        <v>741980</v>
      </c>
    </row>
    <row r="24" spans="2:20" ht="15">
      <c r="B24" s="101">
        <v>14</v>
      </c>
      <c r="C24" s="57"/>
      <c r="D24" s="58"/>
      <c r="E24" s="59"/>
      <c r="F24" s="102"/>
      <c r="G24" s="60"/>
      <c r="H24" s="84">
        <f t="shared" si="1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97">
        <f t="shared" si="2"/>
        <v>0</v>
      </c>
      <c r="T24" s="8">
        <f>+T23*2</f>
        <v>1483960</v>
      </c>
    </row>
    <row r="25" spans="2:18" ht="15">
      <c r="B25" s="101">
        <v>15</v>
      </c>
      <c r="C25" s="57"/>
      <c r="D25" s="58"/>
      <c r="E25" s="59"/>
      <c r="F25" s="102"/>
      <c r="G25" s="60"/>
      <c r="H25" s="84">
        <f t="shared" si="1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97">
        <f t="shared" si="2"/>
        <v>0</v>
      </c>
    </row>
    <row r="26" spans="2:18" ht="15">
      <c r="B26" s="101">
        <v>16</v>
      </c>
      <c r="C26" s="57"/>
      <c r="D26" s="58"/>
      <c r="E26" s="59"/>
      <c r="F26" s="102"/>
      <c r="G26" s="60"/>
      <c r="H26" s="84">
        <f t="shared" si="1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101">
        <v>17</v>
      </c>
      <c r="C27" s="57"/>
      <c r="D27" s="58"/>
      <c r="E27" s="59"/>
      <c r="F27" s="102"/>
      <c r="G27" s="60"/>
      <c r="H27" s="84">
        <f t="shared" si="1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101">
        <v>18</v>
      </c>
      <c r="C28" s="61"/>
      <c r="D28" s="62"/>
      <c r="E28" s="63"/>
      <c r="F28" s="102"/>
      <c r="G28" s="60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64" t="s">
        <v>17</v>
      </c>
      <c r="C29" s="65"/>
      <c r="D29" s="38"/>
      <c r="E29" s="38"/>
      <c r="F29" s="66"/>
      <c r="G29" s="67" t="s">
        <v>3</v>
      </c>
      <c r="H29" s="90"/>
      <c r="I29" s="91"/>
      <c r="J29" s="109">
        <f>SUM(J11:J28)</f>
        <v>2053969.6500000004</v>
      </c>
    </row>
    <row r="30" spans="2:10" ht="15">
      <c r="B30" s="68"/>
      <c r="C30" s="69"/>
      <c r="D30" s="69"/>
      <c r="E30" s="42"/>
      <c r="F30" s="70"/>
      <c r="G30" s="71" t="s">
        <v>13</v>
      </c>
      <c r="H30" s="92"/>
      <c r="I30" s="93"/>
      <c r="J30" s="110">
        <f>J29*I30</f>
        <v>0</v>
      </c>
    </row>
    <row r="31" spans="2:10" ht="15">
      <c r="B31" s="41"/>
      <c r="C31" s="42"/>
      <c r="D31" s="42"/>
      <c r="E31" s="42"/>
      <c r="F31" s="72"/>
      <c r="G31" s="73" t="s">
        <v>4</v>
      </c>
      <c r="H31" s="92"/>
      <c r="I31" s="94"/>
      <c r="J31" s="110">
        <f>J29-J30</f>
        <v>2053969.6500000004</v>
      </c>
    </row>
    <row r="32" spans="2:10" ht="15">
      <c r="B32" s="41"/>
      <c r="C32" s="42"/>
      <c r="D32" s="42"/>
      <c r="E32" s="42"/>
      <c r="F32" s="70"/>
      <c r="G32" s="71">
        <v>0.19</v>
      </c>
      <c r="H32" s="92"/>
      <c r="I32" s="112">
        <v>0.19</v>
      </c>
      <c r="J32" s="110">
        <f>J31*I32</f>
        <v>390254.2335000001</v>
      </c>
    </row>
    <row r="33" spans="2:10" ht="15.75" thickBot="1">
      <c r="B33" s="47"/>
      <c r="C33" s="48"/>
      <c r="D33" s="48"/>
      <c r="E33" s="48"/>
      <c r="F33" s="74"/>
      <c r="G33" s="75" t="s">
        <v>2</v>
      </c>
      <c r="H33" s="95"/>
      <c r="I33" s="96"/>
      <c r="J33" s="111">
        <f>J31+J32</f>
        <v>2444223.8835000005</v>
      </c>
    </row>
  </sheetData>
  <sheetProtection sheet="1" objects="1" scenarios="1"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I107" sqref="I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558</v>
      </c>
      <c r="E106" t="s">
        <v>576</v>
      </c>
      <c r="F106" t="s">
        <v>73</v>
      </c>
      <c r="G106" t="s">
        <v>33</v>
      </c>
      <c r="I106" t="s">
        <v>580</v>
      </c>
      <c r="J106" t="s">
        <v>577</v>
      </c>
      <c r="K106" t="s">
        <v>578</v>
      </c>
      <c r="L106" s="80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jcrodriguez@ceresit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2013-09-25T15:21:54Z</cp:lastPrinted>
  <dcterms:created xsi:type="dcterms:W3CDTF">2013-07-12T05:01:37Z</dcterms:created>
  <dcterms:modified xsi:type="dcterms:W3CDTF">2013-09-25T15:36:06Z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