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<sst xmlns="http://schemas.openxmlformats.org/spreadsheetml/2006/main" count="821" uniqueCount="590">
  <si>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</si>
  <si>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</si>
  <si>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</si>
  <si>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</si>
  <si>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</si>
  <si>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</si>
  <si>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</si>
  <si>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</si>
  <si>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</si>
  <si>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</si>
  <si>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</si>
  <si>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</si>
  <si>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</si>
  <si>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</si>
  <si>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</si>
  <si>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</si>
  <si>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</si>
  <si>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</si>
  <si>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</si>
  <si>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</si>
  <si>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</si>
  <si>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</si>
  <si>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</si>
  <si>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</si>
  <si>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</si>
  <si>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</si>
  <si>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</si>
  <si>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</si>
  <si>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</si>
  <si>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</si>
  <si>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</si>
  <si>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</si>
  <si>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</si>
  <si>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</si>
  <si>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</si>
  <si>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</si>
  <si>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</si>
  <si>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</si>
  <si>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</si>
  <si>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</si>
  <si>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</si>
  <si>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</si>
  <si>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</si>
  <si>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</si>
  <si>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</si>
  <si>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</si>
  <si>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</si>
  <si>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</si>
  <si>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</si>
  <si>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</si>
  <si>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</si>
  <si>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</si>
  <si>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</si>
  <si>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</si>
  <si>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</si>
  <si>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</si>
  <si>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</si>
  <si>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</si>
  <si>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</si>
  <si>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</si>
  <si>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</si>
  <si>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</si>
  <si>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</si>
  <si>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</si>
  <si>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</si>
  <si>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</si>
  <si>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</si>
  <si>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</si>
  <si>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</si>
  <si>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</si>
  <si>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</si>
  <si>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</si>
  <si>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</si>
  <si>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</si>
  <si>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</si>
  <si>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</si>
  <si>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</si>
  <si>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</si>
  <si>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</si>
  <si>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</si>
  <si>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</si>
  <si>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</si>
  <si>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</si>
  <si>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</si>
  <si>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</si>
  <si>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</si>
  <si>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</si>
  <si>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</si>
  <si>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</si>
  <si>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</si>
  <si>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</si>
  <si>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</si>
  <si>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</si>
  <si>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</si>
  <si>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</si>
  <si>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</si>
  <si>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</si>
  <si>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</si>
  <si>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</si>
  <si>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</si>
  <si>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</si>
  <si>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</si>
  <si>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</si>
  <si>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</si>
  <si>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</si>
  <si>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</si>
  <si>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</si>
  <si>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</si>
  <si>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</si>
  <si>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</si>
  <si>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</si>
  <si>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</si>
  <si>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</si>
  <si>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</si>
  <si>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</si>
  <si>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</si>
  <si>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</si>
  <si>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</si>
  <si>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</si>
  <si>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</si>
  <si>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</si>
  <si>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</si>
  <si>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</si>
  <si>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</si>
  <si>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</si>
  <si>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</si>
  <si>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</si>
  <si>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</si>
  <si>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</si>
  <si>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</si>
  <si>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</si>
  <si>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</si>
  <si>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</si>
  <si>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</si>
  <si>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</si>
  <si>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</si>
  <si>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</si>
  <si>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</si>
  <si>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</si>
  <si>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</si>
  <si>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</si>
  <si>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</si>
  <si>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</si>
  <si>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</si>
  <si>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</si>
  <si>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</si>
  <si>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</si>
  <si>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</si>
  <si>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</si>
  <si>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</si>
  <si>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</si>
  <si>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</si>
  <si>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</si>
  <si>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</si>
  <si>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</si>
  <si>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</si>
  <si>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</si>
  <si>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</si>
  <si>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</si>
  <si>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</si>
  <si>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</si>
  <si>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</si>
  <si>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</si>
  <si>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</si>
  <si>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</si>
  <si>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</si>
  <si>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</si>
  <si>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</si>
  <si>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</si>
  <si>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</si>
  <si>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</si>
  <si>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</si>
  <si>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</si>
  <si>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</si>
  <si>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</si>
  <si>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</si>
  <si>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</si>
  <si>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</si>
  <si>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</si>
  <si>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</si>
  <si>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</si>
  <si>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</si>
  <si>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</si>
  <si>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</si>
  <si>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</si>
  <si>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</si>
  <si>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</si>
  <si>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</si>
  <si>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</si>
  <si>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</si>
  <si>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</si>
  <si>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</si>
  <si>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</si>
  <si>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</si>
  <si>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</si>
  <si>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</si>
  <si>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</si>
  <si>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</si>
  <si>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</si>
  <si>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</si>
  <si>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</si>
  <si>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</si>
  <si>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</si>
  <si>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</si>
  <si>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</si>
  <si>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</si>
  <si>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</si>
  <si>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</si>
  <si>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</si>
  <si>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</si>
  <si>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</si>
  <si>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</si>
  <si>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</si>
  <si>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</si>
  <si>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</si>
  <si>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</si>
  <si>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</si>
  <si>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</si>
  <si>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</si>
  <si>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</si>
  <si>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</si>
  <si>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</si>
  <si>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</si>
  <si>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</si>
  <si>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</si>
  <si>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</si>
  <si>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</si>
  <si>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</si>
  <si>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</si>
  <si>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</si>
  <si>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</si>
  <si>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</si>
  <si>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</si>
  <si>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</si>
  <si>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</si>
  <si>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</si>
  <si>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</si>
  <si>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</si>
  <si>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</si>
  <si>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</si>
  <si>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</si>
  <si>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</si>
  <si>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</si>
  <si>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</si>
  <si>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</si>
  <si>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</si>
  <si>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</si>
  <si>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</si>
  <si>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</si>
  <si>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</si>
  <si>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</si>
  <si>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</si>
  <si>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</si>
  <si>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</si>
  <si>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</si>
  <si>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</si>
  <si>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</si>
  <si>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</si>
  <si>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</si>
  <si>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</si>
  <si>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</si>
  <si>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</si>
  <si>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</si>
  <si>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</si>
  <si>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</si>
  <si>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</si>
  <si>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</si>
  <si>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</si>
  <si>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</si>
  <si>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</si>
  <si>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</si>
  <si>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</si>
  <si>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</si>
  <si>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</si>
  <si>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</si>
  <si>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</si>
  <si>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</si>
  <si>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</si>
  <si>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</si>
  <si>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</si>
  <si>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</si>
  <si>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</si>
  <si>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</si>
  <si>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</si>
  <si>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</si>
  <si>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</si>
  <si>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</si>
  <si>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</si>
  <si>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</si>
  <si>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</si>
  <si>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</si>
  <si>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</si>
  <si>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</si>
  <si>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</si>
  <si>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</si>
  <si>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</si>
  <si>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</si>
  <si>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</si>
  <si>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</si>
  <si>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</si>
  <si>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</si>
  <si>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</si>
  <si>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</si>
  <si>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</si>
  <si>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</si>
  <si>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</si>
  <si>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</si>
  <si>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</si>
  <si>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</si>
  <si>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</si>
  <si>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</si>
  <si>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</si>
  <si>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</si>
  <si>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</si>
  <si>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</si>
  <si>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</si>
  <si>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</si>
  <si>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</si>
  <si>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</si>
  <si>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</si>
  <si>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</si>
  <si>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</si>
  <si>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</si>
  <si>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</si>
  <si>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</si>
  <si>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</si>
  <si>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</si>
  <si>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</si>
  <si>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</si>
  <si>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</si>
  <si>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</si>
  <si>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</si>
  <si>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</si>
  <si>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</si>
  <si>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</si>
  <si>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</si>
  <si>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</si>
  <si>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</si>
  <si>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</si>
  <si>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</si>
  <si>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</si>
  <si>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</si>
  <si>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</si>
  <si>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</si>
  <si>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</si>
  <si>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</si>
  <si>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</si>
  <si>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</si>
  <si>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</si>
  <si>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</si>
  <si>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</si>
  <si>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</si>
  <si>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</si>
  <si>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</si>
  <si>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</si>
  <si>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</si>
  <si>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</si>
  <si>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</si>
  <si>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</si>
  <si>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</si>
  <si>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</si>
  <si>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</si>
  <si>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</si>
  <si>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</si>
  <si>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</si>
  <si>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</si>
  <si>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</si>
  <si>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</si>
  <si>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</si>
  <si>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</si>
  <si>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</si>
  <si>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</si>
  <si>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</si>
  <si>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</si>
  <si>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</si>
  <si>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</si>
  <si>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</si>
  <si>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</si>
  <si>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</si>
  <si>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</si>
  <si>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</si>
  <si>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</si>
  <si>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</si>
  <si>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</si>
  <si>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</si>
  <si>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</si>
  <si>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</si>
  <si>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</si>
  <si>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</si>
  <si>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</si>
  <si>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</si>
  <si>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</si>
  <si>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</si>
  <si>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</si>
  <si>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</si>
  <si>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</si>
  <si>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</si>
  <si>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</si>
  <si>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</si>
  <si>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</si>
  <si>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</si>
  <si>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</si>
  <si>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</si>
  <si>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</si>
  <si>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</si>
  <si>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</si>
  <si>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</si>
  <si>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</si>
  <si>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</si>
  <si>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</si>
  <si>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</si>
  <si>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</si>
  <si>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</si>
  <si>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</si>
  <si>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</si>
  <si>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</si>
  <si>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</si>
  <si>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</si>
  <si>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</si>
  <si>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</si>
  <si>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</si>
  <si>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</si>
  <si>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</si>
  <si>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</si>
  <si>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</si>
  <si>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</si>
  <si>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</si>
  <si>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</si>
  <si>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</si>
  <si>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</si>
  <si>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</si>
  <si>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</si>
  <si>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</si>
  <si>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</si>
  <si>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</si>
  <si>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</si>
  <si>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</si>
  <si>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</si>
  <si>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</si>
  <si>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</si>
  <si>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</si>
  <si>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</si>
  <si>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</si>
  <si>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</si>
  <si>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</si>
  <si>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</si>
  <si>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</si>
  <si>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</si>
  <si>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</si>
  <si>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</si>
  <si>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</si>
  <si>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</si>
  <si>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</si>
  <si>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</si>
  <si>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</si>
  <si>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</si>
  <si>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</si>
  <si>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</si>
  <si>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</si>
  <si>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</si>
  <si>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</si>
  <si>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</si>
  <si>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</si>
  <si>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</si>
  <si>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</si>
  <si>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</si>
  <si>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</si>
  <si>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</si>
  <si>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</si>
  <si>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</si>
  <si>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</si>
  <si>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</si>
  <si>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</si>
  <si>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</si>
  <si>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</si>
  <si>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</si>
  <si>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</si>
  <si>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</si>
  <si>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</si>
  <si>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</si>
  <si>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</si>
  <si>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</si>
  <si>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</si>
  <si>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</si>
  <si>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</si>
  <si>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</si>
  <si>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</si>
  <si>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</si>
  <si>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</si>
  <si>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</si>
  <si>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</si>
  <si>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</si>
  <si>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</si>
  <si>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</si>
  <si>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</si>
  <si>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</si>
  <si>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</si>
  <si>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</si>
  <si>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</si>
  <si>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</si>
  <si>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</si>
  <si>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</si>
  <si>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</si>
  <si>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</si>
  <si>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</si>
  <si>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</si>
  <si>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</si>
  <si>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</si>
  <si>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</si>
  <si>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</si>
  <si>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</si>
  <si>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</si>
  <si>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</si>
  <si>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</si>
  <si>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</si>
  <si>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</si>
  <si>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</si>
  <si>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</si>
  <si>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</si>
  <si>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</si>
  <si>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</si>
  <si>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</si>
  <si>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</si>
  <si>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</si>
  <si>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</si>
  <si>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</si>
  <si>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</si>
  <si>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</si>
  <si>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</si>
  <si>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</si>
  <si>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</si>
  <si>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</si>
  <si>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</si>
  <si>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</si>
  <si>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</si>
  <si>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</si>
  <si>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</si>
  <si>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</si>
  <si>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</si>
  <si>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</si>
  <si>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</si>
  <si>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</si>
  <si>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</si>
  <si>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</si>
  <si>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</si>
  <si>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</si>
  <si>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</si>
  <si>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</si>
  <si>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</si>
  <si>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</si>
  <si>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</si>
  <si>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</si>
  <si>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</si>
  <si>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</si>
  <si>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</si>
  <si>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</si>
  <si>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</si>
  <si>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</si>
  <si>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</si>
  <si>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</si>
  <si>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</si>
  <si>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</si>
  <si>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</si>
  <si>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</si>
  <si>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</si>
  <si>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</si>
  <si>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</si>
  <si>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</si>
  <si>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</si>
  <si>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</si>
  <si>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</si>
  <si>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</si>
  <si>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</si>
  <si>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</si>
  <si>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ALLEN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</si>
  <si>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</si>
  <si>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</si>
  <si>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</si>
  <si>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</si>
  <si>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</si>
  <si>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</si>
  <si>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</si>
  <si>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</si>
  <si>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</si>
  <si>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</si>
  <si>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Valvula de compuerta bronce 1"</t>
  </si>
  <si>
    <t>Valvula de bola de 11/2" Br-Cr</t>
  </si>
  <si>
    <t>cosmo</t>
  </si>
  <si>
    <t>Pernos hexagonales inox c/tuerca y golilla</t>
  </si>
  <si>
    <t xml:space="preserve">Union llave 3/4 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</si>
</sst>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u val="single"/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 vertical="top" wrapText="1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164" fontId="51" fillId="33" borderId="0" xfId="0" applyNumberFormat="1" applyFont="1" applyFill="1" applyBorder="1" applyAlignment="1" applyProtection="1">
      <alignment horizontal="center" vertical="center"/>
      <protection locked="0"/>
    </xf>
    <xf numFmtId="14" fontId="52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1" fillId="0" borderId="19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3" fillId="0" borderId="23" xfId="0" applyFont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 horizontal="left"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6" fillId="33" borderId="0" xfId="0" applyFont="1" applyFill="1" applyBorder="1" applyAlignment="1" applyProtection="1">
      <alignment horizontal="left"/>
      <protection/>
    </xf>
    <xf numFmtId="0" fontId="57" fillId="33" borderId="15" xfId="45" applyFont="1" applyFill="1" applyBorder="1" applyAlignment="1" applyProtection="1">
      <alignment horizontal="left"/>
      <protection/>
    </xf>
    <xf numFmtId="164" fontId="58" fillId="33" borderId="15" xfId="0" applyNumberFormat="1" applyFont="1" applyFill="1" applyBorder="1" applyAlignment="1" applyProtection="1">
      <alignment horizontal="left" vertical="center"/>
      <protection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64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54" fillId="0" borderId="29" xfId="0" applyFont="1" applyBorder="1" applyAlignment="1" applyProtection="1">
      <alignment horizontal="center"/>
      <protection locked="0"/>
    </xf>
    <xf numFmtId="0" fontId="54" fillId="0" borderId="30" xfId="0" applyFont="1" applyBorder="1" applyAlignment="1" applyProtection="1">
      <alignment horizontal="center"/>
      <protection locked="0"/>
    </xf>
    <xf numFmtId="0" fontId="54" fillId="0" borderId="31" xfId="0" applyFont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15" xfId="0" applyFont="1" applyFill="1" applyBorder="1" applyAlignment="1" applyProtection="1">
      <alignment horizontal="right"/>
      <protection locked="0"/>
    </xf>
    <xf numFmtId="9" fontId="54" fillId="33" borderId="32" xfId="0" applyNumberFormat="1" applyFont="1" applyFill="1" applyBorder="1" applyAlignment="1" applyProtection="1">
      <alignment horizontal="right" vertical="center"/>
      <protection locked="0"/>
    </xf>
    <xf numFmtId="9" fontId="54" fillId="33" borderId="0" xfId="0" applyNumberFormat="1" applyFont="1" applyFill="1" applyBorder="1" applyAlignment="1" applyProtection="1">
      <alignment horizontal="right" vertical="center"/>
      <protection locked="0"/>
    </xf>
    <xf numFmtId="9" fontId="54" fillId="33" borderId="19" xfId="0" applyNumberFormat="1" applyFont="1" applyFill="1" applyBorder="1" applyAlignment="1" applyProtection="1">
      <alignment horizontal="center" vertic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 horizontal="right" vertical="center"/>
      <protection locked="0"/>
    </xf>
    <xf numFmtId="0" fontId="54" fillId="33" borderId="19" xfId="0" applyFont="1" applyFill="1" applyBorder="1" applyAlignment="1" applyProtection="1">
      <alignment horizontal="right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34" xfId="0" applyFont="1" applyFill="1" applyBorder="1" applyAlignment="1" applyProtection="1">
      <alignment horizontal="right" vertical="center"/>
      <protection locked="0"/>
    </xf>
    <xf numFmtId="0" fontId="54" fillId="33" borderId="24" xfId="0" applyFont="1" applyFill="1" applyBorder="1" applyAlignment="1" applyProtection="1">
      <alignment horizontal="right" vertical="center"/>
      <protection locked="0"/>
    </xf>
    <xf numFmtId="0" fontId="54" fillId="33" borderId="35" xfId="0" applyFont="1" applyFill="1" applyBorder="1" applyAlignment="1" applyProtection="1">
      <alignment horizontal="right"/>
      <protection locked="0"/>
    </xf>
    <xf numFmtId="1" fontId="54" fillId="33" borderId="36" xfId="0" applyNumberFormat="1" applyFont="1" applyFill="1" applyBorder="1" applyAlignment="1" applyProtection="1">
      <alignment horizontal="center"/>
      <protection/>
    </xf>
    <xf numFmtId="165" fontId="60" fillId="0" borderId="13" xfId="45" applyNumberFormat="1" applyFont="1" applyFill="1" applyBorder="1" applyAlignment="1" applyProtection="1">
      <alignment horizontal="center" vertical="center"/>
      <protection locked="0"/>
    </xf>
    <xf numFmtId="166" fontId="55" fillId="0" borderId="0" xfId="0" applyNumberFormat="1" applyFont="1" applyFill="1" applyBorder="1" applyAlignment="1" applyProtection="1">
      <alignment/>
      <protection/>
    </xf>
    <xf numFmtId="166" fontId="61" fillId="33" borderId="12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0" fontId="54" fillId="33" borderId="10" xfId="0" applyNumberFormat="1" applyFont="1" applyFill="1" applyBorder="1" applyAlignment="1" applyProtection="1">
      <alignment horizontal="center"/>
      <protection locked="0"/>
    </xf>
    <xf numFmtId="0" fontId="54" fillId="33" borderId="14" xfId="0" applyNumberFormat="1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166" fontId="54" fillId="33" borderId="0" xfId="0" applyNumberFormat="1" applyFont="1" applyFill="1" applyBorder="1" applyAlignment="1" applyProtection="1">
      <alignment horizontal="center"/>
      <protection locked="0"/>
    </xf>
    <xf numFmtId="166" fontId="54" fillId="33" borderId="11" xfId="0" applyNumberFormat="1" applyFont="1" applyFill="1" applyBorder="1" applyAlignment="1" applyProtection="1">
      <alignment horizontal="center"/>
      <protection locked="0"/>
    </xf>
    <xf numFmtId="166" fontId="54" fillId="33" borderId="24" xfId="0" applyNumberFormat="1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3" fillId="0" borderId="37" xfId="0" applyFont="1" applyBorder="1" applyAlignment="1">
      <alignment horizontal="center"/>
    </xf>
    <xf numFmtId="0" fontId="31" fillId="0" borderId="0" xfId="45" applyFont="1" applyAlignment="1">
      <alignment horizontal="center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9" fillId="33" borderId="27" xfId="0" applyFont="1" applyFill="1" applyBorder="1" applyAlignment="1" applyProtection="1">
      <alignment horizontal="center"/>
      <protection locked="0"/>
    </xf>
    <xf numFmtId="0" fontId="59" fillId="33" borderId="38" xfId="0" applyFont="1" applyFill="1" applyBorder="1" applyAlignment="1" applyProtection="1">
      <alignment horizontal="center"/>
      <protection locked="0"/>
    </xf>
    <xf numFmtId="0" fontId="59" fillId="33" borderId="39" xfId="0" applyFont="1" applyFill="1" applyBorder="1" applyAlignment="1" applyProtection="1">
      <alignment horizontal="center"/>
      <protection locked="0"/>
    </xf>
    <xf numFmtId="0" fontId="59" fillId="33" borderId="10" xfId="0" applyFont="1" applyFill="1" applyBorder="1" applyAlignment="1" applyProtection="1">
      <alignment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166" fontId="54" fillId="33" borderId="27" xfId="0" applyNumberFormat="1" applyFont="1" applyFill="1" applyBorder="1" applyAlignment="1" applyProtection="1">
      <alignment horizontal="center"/>
      <protection/>
    </xf>
    <xf numFmtId="166" fontId="54" fillId="33" borderId="38" xfId="0" applyNumberFormat="1" applyFont="1" applyFill="1" applyBorder="1" applyAlignment="1" applyProtection="1">
      <alignment horizontal="center"/>
      <protection/>
    </xf>
    <xf numFmtId="166" fontId="54" fillId="33" borderId="39" xfId="0" applyNumberFormat="1" applyFont="1" applyFill="1" applyBorder="1" applyAlignment="1" applyProtection="1">
      <alignment horizontal="center"/>
      <protection/>
    </xf>
    <xf numFmtId="0" fontId="54" fillId="0" borderId="10" xfId="0" applyFont="1" applyBorder="1" applyAlignment="1" applyProtection="1">
      <alignment horizontal="center"/>
      <protection locked="0"/>
    </xf>
    <xf numFmtId="0" fontId="54" fillId="0" borderId="11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/>
      <protection locked="0"/>
    </xf>
    <xf numFmtId="0" fontId="59" fillId="33" borderId="10" xfId="0" applyFont="1" applyFill="1" applyBorder="1" applyAlignment="1" applyProtection="1">
      <alignment horizontal="left"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166" fontId="55" fillId="33" borderId="0" xfId="0" applyNumberFormat="1" applyFont="1" applyFill="1" applyBorder="1" applyAlignment="1" applyProtection="1">
      <alignment horizontal="left"/>
      <protection/>
    </xf>
    <xf numFmtId="166" fontId="55" fillId="33" borderId="15" xfId="0" applyNumberFormat="1" applyFont="1" applyFill="1" applyBorder="1" applyAlignment="1" applyProtection="1">
      <alignment horizontal="left"/>
      <protection/>
    </xf>
    <xf numFmtId="166" fontId="56" fillId="33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M21" sqref="M2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8">
        <v>1102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584</v>
      </c>
      <c r="E4" s="38" t="s">
        <v>12</v>
      </c>
      <c r="F4" s="40"/>
      <c r="G4" s="40"/>
      <c r="H4" s="41"/>
      <c r="I4" s="38" t="s">
        <v>9</v>
      </c>
      <c r="J4" s="80">
        <f>VLOOKUP(D4,CLIENTES,10,FALSE)</f>
        <v>0</v>
      </c>
      <c r="K4" s="20"/>
    </row>
    <row r="5" spans="2:11" ht="15">
      <c r="B5" s="42"/>
      <c r="C5" s="43"/>
      <c r="D5" s="44"/>
      <c r="E5" s="108">
        <f>VLOOKUP(D4,CLIENTES,4,FALSE)</f>
        <v>0</v>
      </c>
      <c r="F5" s="108"/>
      <c r="G5" s="108"/>
      <c r="H5" s="108"/>
      <c r="I5" s="108"/>
      <c r="J5" s="109"/>
      <c r="K5" s="20"/>
    </row>
    <row r="6" spans="2:10" ht="17.25" customHeight="1">
      <c r="B6" s="42" t="s">
        <v>27</v>
      </c>
      <c r="C6" s="43"/>
      <c r="D6" s="45" t="str">
        <f>VLOOKUP(D4,CLIENTES,2,FALSE)</f>
        <v>ARTECOLA CHILE S.A</v>
      </c>
      <c r="E6" s="43" t="s">
        <v>7</v>
      </c>
      <c r="F6" s="110">
        <f>VLOOKUP(D4,CLIENTES,5,FALSE)</f>
        <v>0</v>
      </c>
      <c r="G6" s="110"/>
      <c r="H6" s="110"/>
      <c r="I6" s="79" t="str">
        <f>VLOOKUP(D4,CLIENTES,11,FALSE)</f>
        <v>cristobal.ramos@artecola.cl</v>
      </c>
      <c r="J6" s="46"/>
    </row>
    <row r="7" spans="2:10" ht="15">
      <c r="B7" s="42" t="s">
        <v>25</v>
      </c>
      <c r="C7" s="43"/>
      <c r="D7" s="45" t="str">
        <f>VLOOKUP(D4,CLIENTES,3,FALSE)</f>
        <v>QUIMICA</v>
      </c>
      <c r="E7" s="43" t="s">
        <v>8</v>
      </c>
      <c r="F7" s="110">
        <f>VLOOKUP(D4,CLIENTES,6,FALSE)</f>
        <v>0</v>
      </c>
      <c r="G7" s="110"/>
      <c r="H7" s="110"/>
      <c r="I7" s="43" t="s">
        <v>26</v>
      </c>
      <c r="J7" s="81" t="str">
        <f>VLOOKUP(D4,CLIENTES,8,FALSE)</f>
        <v>Cristobal Ramos</v>
      </c>
    </row>
    <row r="8" spans="2:12" ht="15.75" thickBot="1">
      <c r="B8" s="106" t="s">
        <v>28</v>
      </c>
      <c r="C8" s="107"/>
      <c r="D8" s="45">
        <f>VLOOKUP(D4,CLIENTES,7,FALSE)</f>
        <v>0</v>
      </c>
      <c r="E8" s="43" t="s">
        <v>11</v>
      </c>
      <c r="F8" s="110">
        <f>VLOOKUP(D4,CLIENTES,12,FALSE)</f>
        <v>0</v>
      </c>
      <c r="G8" s="110"/>
      <c r="H8" s="110"/>
      <c r="I8" s="43" t="s">
        <v>14</v>
      </c>
      <c r="J8" s="47">
        <f ca="1">TODAY()</f>
        <v>41568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2" t="s">
        <v>24</v>
      </c>
      <c r="D10" s="103"/>
      <c r="E10" s="104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587</v>
      </c>
      <c r="M10" s="25"/>
      <c r="N10" s="25"/>
      <c r="O10" s="25" t="s">
        <v>574</v>
      </c>
      <c r="P10" s="26" t="s">
        <v>16</v>
      </c>
      <c r="Q10" s="25" t="s">
        <v>19</v>
      </c>
      <c r="R10" s="27" t="s">
        <v>20</v>
      </c>
    </row>
    <row r="11" spans="2:19" ht="15">
      <c r="B11" s="82">
        <v>1</v>
      </c>
      <c r="C11" s="105" t="s">
        <v>586</v>
      </c>
      <c r="D11" s="103"/>
      <c r="E11" s="104"/>
      <c r="F11" s="93">
        <v>10</v>
      </c>
      <c r="G11" s="96" t="s">
        <v>23</v>
      </c>
      <c r="H11" s="99">
        <f>+R11</f>
        <v>11060</v>
      </c>
      <c r="I11" s="86">
        <v>0</v>
      </c>
      <c r="J11" s="99">
        <f>+F11*H11</f>
        <v>110600</v>
      </c>
      <c r="K11" s="28">
        <v>1</v>
      </c>
      <c r="L11" s="29">
        <v>7373</v>
      </c>
      <c r="M11" s="29"/>
      <c r="N11" s="29"/>
      <c r="O11" s="29"/>
      <c r="P11" s="30">
        <v>1.5</v>
      </c>
      <c r="Q11" s="31">
        <f>+L11</f>
        <v>7373</v>
      </c>
      <c r="R11" s="35">
        <v>11060</v>
      </c>
      <c r="S11" s="89"/>
    </row>
    <row r="12" spans="2:19" ht="15">
      <c r="B12" s="83">
        <v>2</v>
      </c>
      <c r="C12" s="57" t="s">
        <v>585</v>
      </c>
      <c r="D12" s="58"/>
      <c r="E12" s="91"/>
      <c r="F12" s="94">
        <v>1</v>
      </c>
      <c r="G12" s="97" t="s">
        <v>23</v>
      </c>
      <c r="H12" s="100">
        <f aca="true" t="shared" si="0" ref="H12:H28">VLOOKUP(B12,COTIZADO,8,FALSE)</f>
        <v>4628.8</v>
      </c>
      <c r="I12" s="85">
        <v>0</v>
      </c>
      <c r="J12" s="100">
        <f>+F12*H12</f>
        <v>4628.8</v>
      </c>
      <c r="K12" s="28">
        <v>2</v>
      </c>
      <c r="L12" s="29">
        <v>2893</v>
      </c>
      <c r="M12" s="29"/>
      <c r="N12" s="29"/>
      <c r="O12" s="29"/>
      <c r="P12" s="30">
        <v>1.6</v>
      </c>
      <c r="Q12" s="31">
        <f>+L12</f>
        <v>2893</v>
      </c>
      <c r="R12" s="35">
        <f aca="true" t="shared" si="1" ref="R12:R28">Q12*P12</f>
        <v>4628.8</v>
      </c>
      <c r="S12" s="89"/>
    </row>
    <row r="13" spans="2:19" ht="15">
      <c r="B13" s="83">
        <v>3</v>
      </c>
      <c r="C13" s="57" t="s">
        <v>588</v>
      </c>
      <c r="D13" s="58"/>
      <c r="E13" s="91"/>
      <c r="F13" s="94">
        <v>6</v>
      </c>
      <c r="G13" s="97" t="s">
        <v>23</v>
      </c>
      <c r="H13" s="100">
        <f t="shared" si="0"/>
        <v>1027.2</v>
      </c>
      <c r="I13" s="85">
        <v>0</v>
      </c>
      <c r="J13" s="100">
        <f aca="true" t="shared" si="2" ref="J13:J28">F13*H13*(1-I13/100)</f>
        <v>6163.200000000001</v>
      </c>
      <c r="K13" s="28">
        <v>3</v>
      </c>
      <c r="L13" s="29">
        <v>642</v>
      </c>
      <c r="M13" s="29">
        <f>3850/6</f>
        <v>641.6666666666666</v>
      </c>
      <c r="N13" s="29"/>
      <c r="O13" s="29"/>
      <c r="P13" s="30">
        <v>1.6</v>
      </c>
      <c r="Q13" s="31">
        <f>+L13</f>
        <v>642</v>
      </c>
      <c r="R13" s="35">
        <f t="shared" si="1"/>
        <v>1027.2</v>
      </c>
      <c r="S13" s="90"/>
    </row>
    <row r="14" spans="2:18" ht="15">
      <c r="B14" s="83">
        <v>4</v>
      </c>
      <c r="C14" s="57" t="s">
        <v>589</v>
      </c>
      <c r="D14" s="58"/>
      <c r="E14" s="91"/>
      <c r="F14" s="94">
        <v>6</v>
      </c>
      <c r="G14" s="97" t="s">
        <v>23</v>
      </c>
      <c r="H14" s="100">
        <f t="shared" si="0"/>
        <v>862.5</v>
      </c>
      <c r="I14" s="85">
        <v>0</v>
      </c>
      <c r="J14" s="100">
        <f t="shared" si="2"/>
        <v>5175</v>
      </c>
      <c r="K14" s="28">
        <v>4</v>
      </c>
      <c r="L14" s="29">
        <v>345</v>
      </c>
      <c r="M14" s="29"/>
      <c r="N14" s="29"/>
      <c r="O14" s="29"/>
      <c r="P14" s="30">
        <v>2.5</v>
      </c>
      <c r="Q14" s="31">
        <f>+L14</f>
        <v>345</v>
      </c>
      <c r="R14" s="35">
        <f t="shared" si="1"/>
        <v>862.5</v>
      </c>
    </row>
    <row r="15" spans="2:18" ht="15">
      <c r="B15" s="83">
        <v>5</v>
      </c>
      <c r="C15" s="57"/>
      <c r="D15" s="58"/>
      <c r="E15" s="91"/>
      <c r="F15" s="94"/>
      <c r="G15" s="97"/>
      <c r="H15" s="100">
        <f t="shared" si="0"/>
        <v>0</v>
      </c>
      <c r="I15" s="85">
        <v>0</v>
      </c>
      <c r="J15" s="100">
        <f t="shared" si="2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83">
        <v>6</v>
      </c>
      <c r="C16" s="57"/>
      <c r="D16" s="58"/>
      <c r="E16" s="91"/>
      <c r="F16" s="94"/>
      <c r="G16" s="97"/>
      <c r="H16" s="100">
        <f t="shared" si="0"/>
        <v>0</v>
      </c>
      <c r="I16" s="85">
        <v>0</v>
      </c>
      <c r="J16" s="100">
        <f t="shared" si="2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83">
        <v>7</v>
      </c>
      <c r="C17" s="57"/>
      <c r="D17" s="58"/>
      <c r="E17" s="91"/>
      <c r="F17" s="94"/>
      <c r="G17" s="97"/>
      <c r="H17" s="100">
        <f t="shared" si="0"/>
        <v>0</v>
      </c>
      <c r="I17" s="85">
        <v>0</v>
      </c>
      <c r="J17" s="100">
        <f t="shared" si="2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83">
        <v>8</v>
      </c>
      <c r="C18" s="57"/>
      <c r="D18" s="58"/>
      <c r="E18" s="91"/>
      <c r="F18" s="94"/>
      <c r="G18" s="97"/>
      <c r="H18" s="100">
        <f t="shared" si="0"/>
        <v>0</v>
      </c>
      <c r="I18" s="85">
        <v>0</v>
      </c>
      <c r="J18" s="100">
        <f t="shared" si="2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83">
        <v>9</v>
      </c>
      <c r="C19" s="57"/>
      <c r="D19" s="58"/>
      <c r="E19" s="91"/>
      <c r="F19" s="94"/>
      <c r="G19" s="97"/>
      <c r="H19" s="100">
        <f t="shared" si="0"/>
        <v>0</v>
      </c>
      <c r="I19" s="85">
        <v>0</v>
      </c>
      <c r="J19" s="100">
        <f t="shared" si="2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83">
        <v>10</v>
      </c>
      <c r="C20" s="57"/>
      <c r="D20" s="58"/>
      <c r="E20" s="91"/>
      <c r="F20" s="94"/>
      <c r="G20" s="97"/>
      <c r="H20" s="100">
        <f t="shared" si="0"/>
        <v>0</v>
      </c>
      <c r="I20" s="85">
        <v>0</v>
      </c>
      <c r="J20" s="100">
        <f t="shared" si="2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83">
        <v>11</v>
      </c>
      <c r="C21" s="57"/>
      <c r="D21" s="58"/>
      <c r="E21" s="91"/>
      <c r="F21" s="94"/>
      <c r="G21" s="97"/>
      <c r="H21" s="100">
        <f t="shared" si="0"/>
        <v>0</v>
      </c>
      <c r="I21" s="85">
        <v>0</v>
      </c>
      <c r="J21" s="100">
        <f t="shared" si="2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83">
        <v>12</v>
      </c>
      <c r="C22" s="57"/>
      <c r="D22" s="58"/>
      <c r="E22" s="91"/>
      <c r="F22" s="94"/>
      <c r="G22" s="97"/>
      <c r="H22" s="100">
        <f t="shared" si="0"/>
        <v>0</v>
      </c>
      <c r="I22" s="85">
        <v>0</v>
      </c>
      <c r="J22" s="100">
        <f t="shared" si="2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83">
        <v>13</v>
      </c>
      <c r="C23" s="57"/>
      <c r="D23" s="58"/>
      <c r="E23" s="91"/>
      <c r="F23" s="94"/>
      <c r="G23" s="97"/>
      <c r="H23" s="100">
        <f t="shared" si="0"/>
        <v>0</v>
      </c>
      <c r="I23" s="85">
        <v>0</v>
      </c>
      <c r="J23" s="100">
        <f t="shared" si="2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83">
        <v>14</v>
      </c>
      <c r="C24" s="57"/>
      <c r="D24" s="58"/>
      <c r="E24" s="91"/>
      <c r="F24" s="94"/>
      <c r="G24" s="97"/>
      <c r="H24" s="100">
        <f t="shared" si="0"/>
        <v>0</v>
      </c>
      <c r="I24" s="85">
        <v>0</v>
      </c>
      <c r="J24" s="100">
        <f t="shared" si="2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83">
        <v>15</v>
      </c>
      <c r="C25" s="57"/>
      <c r="D25" s="58"/>
      <c r="E25" s="91"/>
      <c r="F25" s="94"/>
      <c r="G25" s="97"/>
      <c r="H25" s="100">
        <f t="shared" si="0"/>
        <v>0</v>
      </c>
      <c r="I25" s="85">
        <v>0</v>
      </c>
      <c r="J25" s="100">
        <f t="shared" si="2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83">
        <v>16</v>
      </c>
      <c r="C26" s="57"/>
      <c r="D26" s="58"/>
      <c r="E26" s="91"/>
      <c r="F26" s="94"/>
      <c r="G26" s="97"/>
      <c r="H26" s="100">
        <f t="shared" si="0"/>
        <v>0</v>
      </c>
      <c r="I26" s="85">
        <v>0</v>
      </c>
      <c r="J26" s="100">
        <f t="shared" si="2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83">
        <v>17</v>
      </c>
      <c r="C27" s="57"/>
      <c r="D27" s="58"/>
      <c r="E27" s="91"/>
      <c r="F27" s="94"/>
      <c r="G27" s="97"/>
      <c r="H27" s="100">
        <f t="shared" si="0"/>
        <v>0</v>
      </c>
      <c r="I27" s="85">
        <v>0</v>
      </c>
      <c r="J27" s="100">
        <f t="shared" si="2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83">
        <v>18</v>
      </c>
      <c r="C28" s="59"/>
      <c r="D28" s="60"/>
      <c r="E28" s="92"/>
      <c r="F28" s="95"/>
      <c r="G28" s="98"/>
      <c r="H28" s="101">
        <f t="shared" si="0"/>
        <v>0</v>
      </c>
      <c r="I28" s="87">
        <v>0</v>
      </c>
      <c r="J28" s="101">
        <f t="shared" si="2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1" t="s">
        <v>17</v>
      </c>
      <c r="C29" s="84"/>
      <c r="D29" s="43"/>
      <c r="E29" s="43"/>
      <c r="F29" s="70"/>
      <c r="G29" s="71" t="s">
        <v>3</v>
      </c>
      <c r="H29" s="63"/>
      <c r="I29" s="72"/>
      <c r="J29" s="69">
        <f>SUM(J11:J28)</f>
        <v>126567</v>
      </c>
    </row>
    <row r="30" spans="2:10" ht="15">
      <c r="B30" s="62"/>
      <c r="C30" s="63"/>
      <c r="D30" s="64"/>
      <c r="E30" s="43"/>
      <c r="F30" s="65"/>
      <c r="G30" s="66" t="s">
        <v>13</v>
      </c>
      <c r="H30" s="67"/>
      <c r="I30" s="68"/>
      <c r="J30" s="69">
        <f>J29*I30</f>
        <v>0</v>
      </c>
    </row>
    <row r="31" spans="2:10" ht="15">
      <c r="B31" s="42"/>
      <c r="C31" s="43"/>
      <c r="D31" s="43"/>
      <c r="E31" s="43"/>
      <c r="F31" s="70"/>
      <c r="G31" s="71" t="s">
        <v>4</v>
      </c>
      <c r="H31" s="63"/>
      <c r="I31" s="72"/>
      <c r="J31" s="69">
        <f>J29-J30</f>
        <v>126567</v>
      </c>
    </row>
    <row r="32" spans="2:10" ht="15">
      <c r="B32" s="42"/>
      <c r="C32" s="43"/>
      <c r="D32" s="43"/>
      <c r="E32" s="43"/>
      <c r="F32" s="65"/>
      <c r="G32" s="66">
        <v>0.19</v>
      </c>
      <c r="H32" s="67"/>
      <c r="I32" s="68">
        <v>0.19</v>
      </c>
      <c r="J32" s="69">
        <f>J31*I32</f>
        <v>24047.73</v>
      </c>
    </row>
    <row r="33" spans="2:10" ht="15.75" thickBot="1">
      <c r="B33" s="48"/>
      <c r="C33" s="49"/>
      <c r="D33" s="49"/>
      <c r="E33" s="49"/>
      <c r="F33" s="73"/>
      <c r="G33" s="74" t="s">
        <v>2</v>
      </c>
      <c r="H33" s="75"/>
      <c r="I33" s="76"/>
      <c r="J33" s="77">
        <f>J31+J32</f>
        <v>150614.73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580</v>
      </c>
      <c r="C106" t="s">
        <v>575</v>
      </c>
      <c r="D106" t="s">
        <v>576</v>
      </c>
      <c r="E106" t="s">
        <v>577</v>
      </c>
      <c r="F106" t="s">
        <v>167</v>
      </c>
      <c r="G106" t="s">
        <v>33</v>
      </c>
      <c r="I106" t="s">
        <v>578</v>
      </c>
      <c r="K106" t="s">
        <v>579</v>
      </c>
    </row>
    <row r="107" spans="1:12" ht="15">
      <c r="A107">
        <v>106</v>
      </c>
      <c r="B107" s="36" t="s">
        <v>584</v>
      </c>
      <c r="C107" t="s">
        <v>583</v>
      </c>
      <c r="D107" t="s">
        <v>563</v>
      </c>
      <c r="I107" t="s">
        <v>582</v>
      </c>
      <c r="L107" s="88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2013-10-21T18:05:13Z</cp:lastPrinted>
  <dcterms:created xsi:type="dcterms:W3CDTF">2013-07-12T05:01:37Z</dcterms:created>
  <dcterms:modified xsi:type="dcterms:W3CDTF">2013-10-21T21:20:15Z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